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file-01\Administrativo\2022\OAI 2022\Septiembre 2022\Contabilidad\"/>
    </mc:Choice>
  </mc:AlternateContent>
  <xr:revisionPtr revIDLastSave="0" documentId="8_{0102505F-ADF8-4EE1-B6D8-2547CA3BA35B}" xr6:coauthVersionLast="36" xr6:coauthVersionMax="36" xr10:uidLastSave="{00000000-0000-0000-0000-000000000000}"/>
  <bookViews>
    <workbookView xWindow="0" yWindow="0" windowWidth="28800" windowHeight="11325" xr2:uid="{65CF1531-EB18-491E-A2CB-90A46A413463}"/>
  </bookViews>
  <sheets>
    <sheet name="Entrada y Salida " sheetId="1" r:id="rId1"/>
  </sheets>
  <definedNames>
    <definedName name="_xlnm._FilterDatabase" localSheetId="0" hidden="1">'Entrada y Salida '!$A$8:$T$243</definedName>
    <definedName name="_xlnm.Print_Area" localSheetId="0">'Entrada y Salida '!$1:$6</definedName>
    <definedName name="_xlnm.Print_Titles" localSheetId="0">'Entrada y Salida '!$1:$6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35" i="1" l="1"/>
  <c r="Q235" i="1" s="1"/>
  <c r="S235" i="1" s="1"/>
  <c r="L235" i="1"/>
  <c r="M235" i="1" s="1"/>
  <c r="G235" i="1"/>
  <c r="P234" i="1"/>
  <c r="L234" i="1"/>
  <c r="M234" i="1" s="1"/>
  <c r="G234" i="1"/>
  <c r="P233" i="1"/>
  <c r="L233" i="1"/>
  <c r="M233" i="1" s="1"/>
  <c r="G233" i="1"/>
  <c r="P232" i="1"/>
  <c r="Q232" i="1" s="1"/>
  <c r="S232" i="1" s="1"/>
  <c r="M232" i="1"/>
  <c r="N232" i="1" s="1"/>
  <c r="L232" i="1"/>
  <c r="G232" i="1"/>
  <c r="B232" i="1"/>
  <c r="B233" i="1" s="1"/>
  <c r="B234" i="1" s="1"/>
  <c r="B235" i="1" s="1"/>
  <c r="P231" i="1"/>
  <c r="Q231" i="1" s="1"/>
  <c r="S231" i="1" s="1"/>
  <c r="L231" i="1"/>
  <c r="M231" i="1" s="1"/>
  <c r="G231" i="1"/>
  <c r="P230" i="1"/>
  <c r="L230" i="1"/>
  <c r="M230" i="1" s="1"/>
  <c r="G230" i="1"/>
  <c r="P226" i="1"/>
  <c r="Q226" i="1" s="1"/>
  <c r="S226" i="1" s="1"/>
  <c r="L226" i="1"/>
  <c r="M226" i="1" s="1"/>
  <c r="G226" i="1"/>
  <c r="P225" i="1"/>
  <c r="L225" i="1"/>
  <c r="M225" i="1" s="1"/>
  <c r="G225" i="1"/>
  <c r="P224" i="1"/>
  <c r="M224" i="1"/>
  <c r="N224" i="1" s="1"/>
  <c r="L224" i="1"/>
  <c r="K224" i="1"/>
  <c r="G224" i="1"/>
  <c r="P223" i="1"/>
  <c r="Q223" i="1" s="1"/>
  <c r="N223" i="1"/>
  <c r="M223" i="1"/>
  <c r="H223" i="1" s="1"/>
  <c r="L223" i="1"/>
  <c r="G223" i="1"/>
  <c r="P222" i="1"/>
  <c r="Q222" i="1" s="1"/>
  <c r="N222" i="1"/>
  <c r="M222" i="1"/>
  <c r="H222" i="1" s="1"/>
  <c r="L222" i="1"/>
  <c r="G222" i="1"/>
  <c r="P221" i="1"/>
  <c r="Q221" i="1" s="1"/>
  <c r="N221" i="1"/>
  <c r="M221" i="1"/>
  <c r="H221" i="1" s="1"/>
  <c r="L221" i="1"/>
  <c r="G221" i="1"/>
  <c r="P220" i="1"/>
  <c r="Q220" i="1" s="1"/>
  <c r="N220" i="1"/>
  <c r="M220" i="1"/>
  <c r="H220" i="1" s="1"/>
  <c r="L220" i="1"/>
  <c r="G220" i="1"/>
  <c r="P219" i="1"/>
  <c r="L219" i="1"/>
  <c r="M219" i="1" s="1"/>
  <c r="G219" i="1"/>
  <c r="P218" i="1"/>
  <c r="Q218" i="1" s="1"/>
  <c r="L218" i="1"/>
  <c r="M218" i="1" s="1"/>
  <c r="G218" i="1"/>
  <c r="P217" i="1"/>
  <c r="L217" i="1"/>
  <c r="M217" i="1" s="1"/>
  <c r="G217" i="1"/>
  <c r="P216" i="1"/>
  <c r="Q216" i="1" s="1"/>
  <c r="S216" i="1" s="1"/>
  <c r="O216" i="1"/>
  <c r="N216" i="1"/>
  <c r="M216" i="1"/>
  <c r="H216" i="1"/>
  <c r="G216" i="1"/>
  <c r="P215" i="1"/>
  <c r="L215" i="1"/>
  <c r="M215" i="1" s="1"/>
  <c r="G215" i="1"/>
  <c r="P214" i="1"/>
  <c r="L214" i="1"/>
  <c r="M214" i="1" s="1"/>
  <c r="G214" i="1"/>
  <c r="P213" i="1"/>
  <c r="N213" i="1"/>
  <c r="M213" i="1"/>
  <c r="H213" i="1" s="1"/>
  <c r="L213" i="1"/>
  <c r="G213" i="1"/>
  <c r="P212" i="1"/>
  <c r="N212" i="1"/>
  <c r="M212" i="1"/>
  <c r="H212" i="1" s="1"/>
  <c r="L212" i="1"/>
  <c r="G212" i="1"/>
  <c r="P211" i="1"/>
  <c r="Q211" i="1" s="1"/>
  <c r="S211" i="1" s="1"/>
  <c r="N211" i="1"/>
  <c r="M211" i="1"/>
  <c r="L211" i="1"/>
  <c r="H211" i="1"/>
  <c r="G211" i="1"/>
  <c r="P210" i="1"/>
  <c r="Q210" i="1" s="1"/>
  <c r="N210" i="1"/>
  <c r="M210" i="1"/>
  <c r="L210" i="1"/>
  <c r="H210" i="1"/>
  <c r="G210" i="1"/>
  <c r="B210" i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P209" i="1"/>
  <c r="Q209" i="1" s="1"/>
  <c r="N209" i="1"/>
  <c r="M209" i="1"/>
  <c r="L209" i="1"/>
  <c r="H209" i="1"/>
  <c r="G209" i="1"/>
  <c r="P205" i="1"/>
  <c r="M205" i="1"/>
  <c r="N205" i="1" s="1"/>
  <c r="L205" i="1"/>
  <c r="G205" i="1"/>
  <c r="P204" i="1"/>
  <c r="M204" i="1"/>
  <c r="N204" i="1" s="1"/>
  <c r="L204" i="1"/>
  <c r="G204" i="1"/>
  <c r="O203" i="1"/>
  <c r="P203" i="1" s="1"/>
  <c r="M203" i="1"/>
  <c r="N203" i="1" s="1"/>
  <c r="L203" i="1"/>
  <c r="P202" i="1"/>
  <c r="Q202" i="1" s="1"/>
  <c r="M202" i="1"/>
  <c r="N202" i="1" s="1"/>
  <c r="L202" i="1"/>
  <c r="H202" i="1"/>
  <c r="G202" i="1"/>
  <c r="P201" i="1"/>
  <c r="L201" i="1"/>
  <c r="M201" i="1" s="1"/>
  <c r="G201" i="1"/>
  <c r="P200" i="1"/>
  <c r="Q200" i="1" s="1"/>
  <c r="S200" i="1" s="1"/>
  <c r="M200" i="1"/>
  <c r="N200" i="1" s="1"/>
  <c r="L200" i="1"/>
  <c r="G200" i="1"/>
  <c r="P199" i="1"/>
  <c r="Q199" i="1" s="1"/>
  <c r="M199" i="1"/>
  <c r="N199" i="1" s="1"/>
  <c r="L199" i="1"/>
  <c r="G199" i="1"/>
  <c r="P198" i="1"/>
  <c r="L198" i="1"/>
  <c r="M198" i="1" s="1"/>
  <c r="G198" i="1"/>
  <c r="P197" i="1"/>
  <c r="Q197" i="1" s="1"/>
  <c r="S197" i="1" s="1"/>
  <c r="M197" i="1"/>
  <c r="N197" i="1" s="1"/>
  <c r="L197" i="1"/>
  <c r="H197" i="1"/>
  <c r="G197" i="1"/>
  <c r="P196" i="1"/>
  <c r="L196" i="1"/>
  <c r="M196" i="1" s="1"/>
  <c r="G196" i="1"/>
  <c r="P195" i="1"/>
  <c r="Q195" i="1" s="1"/>
  <c r="S195" i="1" s="1"/>
  <c r="M195" i="1"/>
  <c r="N195" i="1" s="1"/>
  <c r="L195" i="1"/>
  <c r="G195" i="1"/>
  <c r="P194" i="1"/>
  <c r="Q194" i="1" s="1"/>
  <c r="M194" i="1"/>
  <c r="N194" i="1" s="1"/>
  <c r="L194" i="1"/>
  <c r="G194" i="1"/>
  <c r="P193" i="1"/>
  <c r="Q193" i="1" s="1"/>
  <c r="M193" i="1"/>
  <c r="N193" i="1" s="1"/>
  <c r="L193" i="1"/>
  <c r="G193" i="1"/>
  <c r="P192" i="1"/>
  <c r="L192" i="1"/>
  <c r="M192" i="1" s="1"/>
  <c r="G192" i="1"/>
  <c r="P191" i="1"/>
  <c r="L191" i="1"/>
  <c r="M191" i="1" s="1"/>
  <c r="G191" i="1"/>
  <c r="P190" i="1"/>
  <c r="L190" i="1"/>
  <c r="M190" i="1" s="1"/>
  <c r="G190" i="1"/>
  <c r="P189" i="1"/>
  <c r="L189" i="1"/>
  <c r="M189" i="1" s="1"/>
  <c r="G189" i="1"/>
  <c r="P188" i="1"/>
  <c r="L188" i="1"/>
  <c r="M188" i="1" s="1"/>
  <c r="G188" i="1"/>
  <c r="P187" i="1"/>
  <c r="L187" i="1"/>
  <c r="M187" i="1" s="1"/>
  <c r="G187" i="1"/>
  <c r="P186" i="1"/>
  <c r="L186" i="1"/>
  <c r="M186" i="1" s="1"/>
  <c r="G186" i="1"/>
  <c r="B186" i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P185" i="1"/>
  <c r="Q185" i="1" s="1"/>
  <c r="M185" i="1"/>
  <c r="N185" i="1" s="1"/>
  <c r="L185" i="1"/>
  <c r="H185" i="1"/>
  <c r="G185" i="1"/>
  <c r="P181" i="1"/>
  <c r="O181" i="1"/>
  <c r="L181" i="1"/>
  <c r="M181" i="1" s="1"/>
  <c r="N181" i="1" s="1"/>
  <c r="G181" i="1"/>
  <c r="P180" i="1"/>
  <c r="Q180" i="1" s="1"/>
  <c r="S180" i="1" s="1"/>
  <c r="O180" i="1"/>
  <c r="N180" i="1"/>
  <c r="M180" i="1"/>
  <c r="L180" i="1"/>
  <c r="G180" i="1"/>
  <c r="P179" i="1"/>
  <c r="Q179" i="1" s="1"/>
  <c r="S179" i="1" s="1"/>
  <c r="M179" i="1"/>
  <c r="N179" i="1" s="1"/>
  <c r="L179" i="1"/>
  <c r="G179" i="1"/>
  <c r="Q178" i="1"/>
  <c r="S178" i="1" s="1"/>
  <c r="P178" i="1"/>
  <c r="N178" i="1"/>
  <c r="M178" i="1"/>
  <c r="H178" i="1" s="1"/>
  <c r="L178" i="1"/>
  <c r="G178" i="1"/>
  <c r="P177" i="1"/>
  <c r="Q177" i="1" s="1"/>
  <c r="S177" i="1" s="1"/>
  <c r="M177" i="1"/>
  <c r="N177" i="1" s="1"/>
  <c r="L177" i="1"/>
  <c r="H177" i="1"/>
  <c r="G177" i="1"/>
  <c r="O176" i="1"/>
  <c r="G176" i="1" s="1"/>
  <c r="M176" i="1"/>
  <c r="N176" i="1" s="1"/>
  <c r="L176" i="1"/>
  <c r="O175" i="1"/>
  <c r="M175" i="1"/>
  <c r="N175" i="1" s="1"/>
  <c r="L175" i="1"/>
  <c r="O174" i="1"/>
  <c r="G174" i="1" s="1"/>
  <c r="M174" i="1"/>
  <c r="N174" i="1" s="1"/>
  <c r="L174" i="1"/>
  <c r="O173" i="1"/>
  <c r="M173" i="1"/>
  <c r="N173" i="1" s="1"/>
  <c r="L173" i="1"/>
  <c r="Q172" i="1"/>
  <c r="S172" i="1" s="1"/>
  <c r="P172" i="1"/>
  <c r="N172" i="1"/>
  <c r="L172" i="1"/>
  <c r="M172" i="1" s="1"/>
  <c r="H172" i="1"/>
  <c r="G172" i="1"/>
  <c r="P171" i="1"/>
  <c r="L171" i="1"/>
  <c r="M171" i="1" s="1"/>
  <c r="N171" i="1" s="1"/>
  <c r="G171" i="1"/>
  <c r="P170" i="1"/>
  <c r="M170" i="1"/>
  <c r="H170" i="1" s="1"/>
  <c r="L170" i="1"/>
  <c r="G170" i="1"/>
  <c r="P169" i="1"/>
  <c r="N169" i="1"/>
  <c r="M169" i="1"/>
  <c r="H169" i="1" s="1"/>
  <c r="L169" i="1"/>
  <c r="G169" i="1"/>
  <c r="Q168" i="1"/>
  <c r="S168" i="1" s="1"/>
  <c r="P168" i="1"/>
  <c r="N168" i="1"/>
  <c r="L168" i="1"/>
  <c r="M168" i="1" s="1"/>
  <c r="H168" i="1"/>
  <c r="G168" i="1"/>
  <c r="S167" i="1"/>
  <c r="P167" i="1"/>
  <c r="Q167" i="1" s="1"/>
  <c r="L167" i="1"/>
  <c r="M167" i="1" s="1"/>
  <c r="N167" i="1" s="1"/>
  <c r="G167" i="1"/>
  <c r="Q166" i="1"/>
  <c r="P166" i="1"/>
  <c r="M166" i="1"/>
  <c r="N166" i="1" s="1"/>
  <c r="L166" i="1"/>
  <c r="H166" i="1"/>
  <c r="G166" i="1"/>
  <c r="Q165" i="1"/>
  <c r="S165" i="1" s="1"/>
  <c r="O165" i="1"/>
  <c r="P165" i="1" s="1"/>
  <c r="N165" i="1"/>
  <c r="M165" i="1"/>
  <c r="K165" i="1"/>
  <c r="H165" i="1"/>
  <c r="G165" i="1"/>
  <c r="P164" i="1"/>
  <c r="L164" i="1"/>
  <c r="M164" i="1" s="1"/>
  <c r="Q164" i="1" s="1"/>
  <c r="S164" i="1" s="1"/>
  <c r="G164" i="1"/>
  <c r="P163" i="1"/>
  <c r="M163" i="1"/>
  <c r="L163" i="1"/>
  <c r="G163" i="1"/>
  <c r="O162" i="1"/>
  <c r="M162" i="1"/>
  <c r="N162" i="1" s="1"/>
  <c r="L162" i="1"/>
  <c r="Q161" i="1"/>
  <c r="S161" i="1" s="1"/>
  <c r="P161" i="1"/>
  <c r="L161" i="1"/>
  <c r="M161" i="1" s="1"/>
  <c r="G161" i="1"/>
  <c r="P160" i="1"/>
  <c r="Q160" i="1" s="1"/>
  <c r="S160" i="1" s="1"/>
  <c r="O160" i="1"/>
  <c r="L160" i="1"/>
  <c r="M160" i="1" s="1"/>
  <c r="N160" i="1" s="1"/>
  <c r="G160" i="1"/>
  <c r="O159" i="1"/>
  <c r="M159" i="1"/>
  <c r="N159" i="1" s="1"/>
  <c r="L159" i="1"/>
  <c r="O158" i="1"/>
  <c r="P158" i="1" s="1"/>
  <c r="M158" i="1"/>
  <c r="N158" i="1" s="1"/>
  <c r="L158" i="1"/>
  <c r="P157" i="1"/>
  <c r="M157" i="1"/>
  <c r="L157" i="1"/>
  <c r="G157" i="1"/>
  <c r="O156" i="1"/>
  <c r="M156" i="1"/>
  <c r="N156" i="1" s="1"/>
  <c r="L156" i="1"/>
  <c r="P155" i="1"/>
  <c r="O155" i="1"/>
  <c r="L155" i="1"/>
  <c r="M155" i="1" s="1"/>
  <c r="N155" i="1" s="1"/>
  <c r="G155" i="1"/>
  <c r="P154" i="1"/>
  <c r="Q154" i="1" s="1"/>
  <c r="S154" i="1" s="1"/>
  <c r="O154" i="1"/>
  <c r="L154" i="1"/>
  <c r="M154" i="1" s="1"/>
  <c r="N154" i="1" s="1"/>
  <c r="G154" i="1"/>
  <c r="P153" i="1"/>
  <c r="Q153" i="1" s="1"/>
  <c r="S153" i="1" s="1"/>
  <c r="M153" i="1"/>
  <c r="N153" i="1" s="1"/>
  <c r="K153" i="1"/>
  <c r="H153" i="1"/>
  <c r="G153" i="1"/>
  <c r="P152" i="1"/>
  <c r="O152" i="1"/>
  <c r="L152" i="1"/>
  <c r="M152" i="1" s="1"/>
  <c r="N152" i="1" s="1"/>
  <c r="G152" i="1"/>
  <c r="P151" i="1"/>
  <c r="Q151" i="1" s="1"/>
  <c r="S151" i="1" s="1"/>
  <c r="O151" i="1"/>
  <c r="N151" i="1"/>
  <c r="L151" i="1"/>
  <c r="M151" i="1" s="1"/>
  <c r="G151" i="1"/>
  <c r="P150" i="1"/>
  <c r="Q150" i="1" s="1"/>
  <c r="S150" i="1" s="1"/>
  <c r="M150" i="1"/>
  <c r="N150" i="1" s="1"/>
  <c r="K150" i="1"/>
  <c r="G150" i="1"/>
  <c r="O149" i="1"/>
  <c r="P149" i="1" s="1"/>
  <c r="M149" i="1"/>
  <c r="N149" i="1" s="1"/>
  <c r="L149" i="1"/>
  <c r="P148" i="1"/>
  <c r="L148" i="1"/>
  <c r="M148" i="1" s="1"/>
  <c r="G148" i="1"/>
  <c r="P147" i="1"/>
  <c r="O147" i="1"/>
  <c r="L147" i="1"/>
  <c r="M147" i="1" s="1"/>
  <c r="N147" i="1" s="1"/>
  <c r="G147" i="1"/>
  <c r="P146" i="1"/>
  <c r="M146" i="1"/>
  <c r="L146" i="1"/>
  <c r="G146" i="1"/>
  <c r="P145" i="1"/>
  <c r="Q145" i="1" s="1"/>
  <c r="O145" i="1"/>
  <c r="L145" i="1"/>
  <c r="M145" i="1" s="1"/>
  <c r="N145" i="1" s="1"/>
  <c r="G145" i="1"/>
  <c r="O144" i="1"/>
  <c r="M144" i="1"/>
  <c r="N144" i="1" s="1"/>
  <c r="L144" i="1"/>
  <c r="P143" i="1"/>
  <c r="O143" i="1"/>
  <c r="L143" i="1"/>
  <c r="M143" i="1" s="1"/>
  <c r="N143" i="1" s="1"/>
  <c r="G143" i="1"/>
  <c r="P142" i="1"/>
  <c r="L142" i="1"/>
  <c r="M142" i="1" s="1"/>
  <c r="Q142" i="1" s="1"/>
  <c r="G142" i="1"/>
  <c r="O141" i="1"/>
  <c r="P141" i="1" s="1"/>
  <c r="M141" i="1"/>
  <c r="N141" i="1" s="1"/>
  <c r="L141" i="1"/>
  <c r="P140" i="1"/>
  <c r="O140" i="1"/>
  <c r="N140" i="1"/>
  <c r="L140" i="1"/>
  <c r="M140" i="1" s="1"/>
  <c r="G140" i="1"/>
  <c r="P139" i="1"/>
  <c r="O139" i="1"/>
  <c r="L139" i="1"/>
  <c r="M139" i="1" s="1"/>
  <c r="N139" i="1" s="1"/>
  <c r="G139" i="1"/>
  <c r="P138" i="1"/>
  <c r="Q138" i="1" s="1"/>
  <c r="S138" i="1" s="1"/>
  <c r="M138" i="1"/>
  <c r="L138" i="1"/>
  <c r="G138" i="1"/>
  <c r="P137" i="1"/>
  <c r="L137" i="1"/>
  <c r="M137" i="1" s="1"/>
  <c r="N137" i="1" s="1"/>
  <c r="G137" i="1"/>
  <c r="P136" i="1"/>
  <c r="Q136" i="1" s="1"/>
  <c r="S136" i="1" s="1"/>
  <c r="M136" i="1"/>
  <c r="N136" i="1" s="1"/>
  <c r="L136" i="1"/>
  <c r="H136" i="1"/>
  <c r="G136" i="1"/>
  <c r="P135" i="1"/>
  <c r="L135" i="1"/>
  <c r="M135" i="1" s="1"/>
  <c r="Q135" i="1" s="1"/>
  <c r="S135" i="1" s="1"/>
  <c r="G135" i="1"/>
  <c r="P134" i="1"/>
  <c r="Q134" i="1" s="1"/>
  <c r="S134" i="1" s="1"/>
  <c r="O134" i="1"/>
  <c r="N134" i="1"/>
  <c r="K134" i="1"/>
  <c r="M134" i="1" s="1"/>
  <c r="G134" i="1"/>
  <c r="O133" i="1"/>
  <c r="M133" i="1"/>
  <c r="N133" i="1" s="1"/>
  <c r="L133" i="1"/>
  <c r="Q132" i="1"/>
  <c r="S132" i="1" s="1"/>
  <c r="O132" i="1"/>
  <c r="P132" i="1" s="1"/>
  <c r="H132" i="1" s="1"/>
  <c r="M132" i="1"/>
  <c r="N132" i="1" s="1"/>
  <c r="L132" i="1"/>
  <c r="P131" i="1"/>
  <c r="Q131" i="1" s="1"/>
  <c r="M131" i="1"/>
  <c r="L131" i="1"/>
  <c r="G131" i="1"/>
  <c r="O130" i="1"/>
  <c r="M130" i="1"/>
  <c r="N130" i="1" s="1"/>
  <c r="L130" i="1"/>
  <c r="O129" i="1"/>
  <c r="P129" i="1" s="1"/>
  <c r="Q129" i="1" s="1"/>
  <c r="S129" i="1" s="1"/>
  <c r="M129" i="1"/>
  <c r="N129" i="1" s="1"/>
  <c r="L129" i="1"/>
  <c r="P128" i="1"/>
  <c r="O128" i="1"/>
  <c r="L128" i="1"/>
  <c r="M128" i="1" s="1"/>
  <c r="N128" i="1" s="1"/>
  <c r="G128" i="1"/>
  <c r="P127" i="1"/>
  <c r="O127" i="1"/>
  <c r="N127" i="1"/>
  <c r="L127" i="1"/>
  <c r="M127" i="1" s="1"/>
  <c r="G127" i="1"/>
  <c r="P126" i="1"/>
  <c r="O126" i="1"/>
  <c r="K126" i="1"/>
  <c r="M126" i="1" s="1"/>
  <c r="N126" i="1" s="1"/>
  <c r="G126" i="1"/>
  <c r="O125" i="1"/>
  <c r="L125" i="1"/>
  <c r="M125" i="1" s="1"/>
  <c r="N125" i="1" s="1"/>
  <c r="O124" i="1"/>
  <c r="P124" i="1" s="1"/>
  <c r="L124" i="1"/>
  <c r="M124" i="1" s="1"/>
  <c r="P123" i="1"/>
  <c r="M123" i="1"/>
  <c r="L123" i="1"/>
  <c r="G123" i="1"/>
  <c r="O122" i="1"/>
  <c r="L122" i="1"/>
  <c r="M122" i="1" s="1"/>
  <c r="N122" i="1" s="1"/>
  <c r="P121" i="1"/>
  <c r="Q121" i="1" s="1"/>
  <c r="L121" i="1"/>
  <c r="M121" i="1" s="1"/>
  <c r="N121" i="1" s="1"/>
  <c r="H121" i="1"/>
  <c r="G121" i="1"/>
  <c r="P120" i="1"/>
  <c r="O120" i="1"/>
  <c r="M120" i="1"/>
  <c r="N120" i="1" s="1"/>
  <c r="L120" i="1"/>
  <c r="G120" i="1"/>
  <c r="O119" i="1"/>
  <c r="L119" i="1"/>
  <c r="M119" i="1" s="1"/>
  <c r="N119" i="1" s="1"/>
  <c r="P118" i="1"/>
  <c r="O118" i="1"/>
  <c r="G118" i="1" s="1"/>
  <c r="L118" i="1"/>
  <c r="M118" i="1" s="1"/>
  <c r="N118" i="1" s="1"/>
  <c r="P117" i="1"/>
  <c r="H117" i="1" s="1"/>
  <c r="O117" i="1"/>
  <c r="M117" i="1"/>
  <c r="N117" i="1" s="1"/>
  <c r="L117" i="1"/>
  <c r="G117" i="1"/>
  <c r="O116" i="1"/>
  <c r="L116" i="1"/>
  <c r="M116" i="1" s="1"/>
  <c r="N116" i="1" s="1"/>
  <c r="Q115" i="1"/>
  <c r="S115" i="1" s="1"/>
  <c r="P115" i="1"/>
  <c r="L115" i="1"/>
  <c r="M115" i="1" s="1"/>
  <c r="G115" i="1"/>
  <c r="P114" i="1"/>
  <c r="O114" i="1"/>
  <c r="M114" i="1"/>
  <c r="L114" i="1"/>
  <c r="J114" i="1"/>
  <c r="G114" i="1"/>
  <c r="P113" i="1"/>
  <c r="Q113" i="1" s="1"/>
  <c r="S113" i="1" s="1"/>
  <c r="L113" i="1"/>
  <c r="M113" i="1" s="1"/>
  <c r="N113" i="1" s="1"/>
  <c r="G113" i="1"/>
  <c r="P112" i="1"/>
  <c r="O112" i="1"/>
  <c r="G112" i="1" s="1"/>
  <c r="L112" i="1"/>
  <c r="M112" i="1" s="1"/>
  <c r="N112" i="1" s="1"/>
  <c r="P111" i="1"/>
  <c r="M111" i="1"/>
  <c r="L111" i="1"/>
  <c r="G111" i="1"/>
  <c r="P110" i="1"/>
  <c r="Q110" i="1" s="1"/>
  <c r="S110" i="1" s="1"/>
  <c r="N110" i="1"/>
  <c r="M110" i="1"/>
  <c r="L110" i="1"/>
  <c r="H110" i="1"/>
  <c r="G110" i="1"/>
  <c r="P109" i="1"/>
  <c r="O109" i="1"/>
  <c r="G109" i="1" s="1"/>
  <c r="L109" i="1"/>
  <c r="M109" i="1" s="1"/>
  <c r="N109" i="1" s="1"/>
  <c r="O108" i="1"/>
  <c r="P108" i="1" s="1"/>
  <c r="N108" i="1"/>
  <c r="M108" i="1"/>
  <c r="L108" i="1"/>
  <c r="G108" i="1"/>
  <c r="P107" i="1"/>
  <c r="O107" i="1"/>
  <c r="G107" i="1" s="1"/>
  <c r="L107" i="1"/>
  <c r="M107" i="1" s="1"/>
  <c r="N107" i="1" s="1"/>
  <c r="O106" i="1"/>
  <c r="P106" i="1" s="1"/>
  <c r="N106" i="1"/>
  <c r="M106" i="1"/>
  <c r="L106" i="1"/>
  <c r="G106" i="1"/>
  <c r="P105" i="1"/>
  <c r="O105" i="1"/>
  <c r="G105" i="1" s="1"/>
  <c r="L105" i="1"/>
  <c r="M105" i="1" s="1"/>
  <c r="N105" i="1" s="1"/>
  <c r="O104" i="1"/>
  <c r="P104" i="1" s="1"/>
  <c r="N104" i="1"/>
  <c r="M104" i="1"/>
  <c r="L104" i="1"/>
  <c r="G104" i="1"/>
  <c r="P103" i="1"/>
  <c r="O103" i="1"/>
  <c r="G103" i="1" s="1"/>
  <c r="L103" i="1"/>
  <c r="M103" i="1" s="1"/>
  <c r="N103" i="1" s="1"/>
  <c r="P102" i="1"/>
  <c r="M102" i="1"/>
  <c r="L102" i="1"/>
  <c r="G102" i="1"/>
  <c r="O101" i="1"/>
  <c r="L101" i="1"/>
  <c r="M101" i="1" s="1"/>
  <c r="N101" i="1" s="1"/>
  <c r="P100" i="1"/>
  <c r="K100" i="1"/>
  <c r="M100" i="1" s="1"/>
  <c r="Q100" i="1" s="1"/>
  <c r="S100" i="1" s="1"/>
  <c r="G100" i="1"/>
  <c r="O99" i="1"/>
  <c r="P99" i="1" s="1"/>
  <c r="N99" i="1"/>
  <c r="M99" i="1"/>
  <c r="P98" i="1"/>
  <c r="Q98" i="1" s="1"/>
  <c r="S98" i="1" s="1"/>
  <c r="O98" i="1"/>
  <c r="G98" i="1" s="1"/>
  <c r="L98" i="1"/>
  <c r="M98" i="1" s="1"/>
  <c r="N98" i="1" s="1"/>
  <c r="H98" i="1"/>
  <c r="P97" i="1"/>
  <c r="O97" i="1"/>
  <c r="N97" i="1"/>
  <c r="M97" i="1"/>
  <c r="Q97" i="1" s="1"/>
  <c r="S97" i="1" s="1"/>
  <c r="L97" i="1"/>
  <c r="G97" i="1"/>
  <c r="P96" i="1"/>
  <c r="O96" i="1"/>
  <c r="G96" i="1" s="1"/>
  <c r="L96" i="1"/>
  <c r="M96" i="1" s="1"/>
  <c r="N96" i="1" s="1"/>
  <c r="P95" i="1"/>
  <c r="O95" i="1"/>
  <c r="M95" i="1"/>
  <c r="N95" i="1" s="1"/>
  <c r="G95" i="1"/>
  <c r="S94" i="1"/>
  <c r="P94" i="1"/>
  <c r="O94" i="1"/>
  <c r="J94" i="1"/>
  <c r="G94" i="1"/>
  <c r="O93" i="1"/>
  <c r="P93" i="1" s="1"/>
  <c r="S93" i="1" s="1"/>
  <c r="P92" i="1"/>
  <c r="O92" i="1"/>
  <c r="G92" i="1" s="1"/>
  <c r="L92" i="1"/>
  <c r="M92" i="1" s="1"/>
  <c r="P91" i="1"/>
  <c r="O91" i="1"/>
  <c r="N91" i="1"/>
  <c r="M91" i="1"/>
  <c r="H91" i="1" s="1"/>
  <c r="G91" i="1"/>
  <c r="S90" i="1"/>
  <c r="P90" i="1"/>
  <c r="O90" i="1"/>
  <c r="S89" i="1"/>
  <c r="O89" i="1"/>
  <c r="J89" i="1"/>
  <c r="P89" i="1" s="1"/>
  <c r="G89" i="1"/>
  <c r="Q88" i="1"/>
  <c r="S88" i="1" s="1"/>
  <c r="P88" i="1"/>
  <c r="L88" i="1"/>
  <c r="M88" i="1" s="1"/>
  <c r="N88" i="1" s="1"/>
  <c r="H88" i="1"/>
  <c r="G88" i="1"/>
  <c r="P87" i="1"/>
  <c r="H87" i="1" s="1"/>
  <c r="O87" i="1"/>
  <c r="N87" i="1"/>
  <c r="M87" i="1"/>
  <c r="Q87" i="1" s="1"/>
  <c r="S87" i="1" s="1"/>
  <c r="L87" i="1"/>
  <c r="G87" i="1"/>
  <c r="P86" i="1"/>
  <c r="Q86" i="1" s="1"/>
  <c r="S86" i="1" s="1"/>
  <c r="N86" i="1"/>
  <c r="M86" i="1"/>
  <c r="L86" i="1"/>
  <c r="H86" i="1"/>
  <c r="G86" i="1"/>
  <c r="P85" i="1"/>
  <c r="O85" i="1"/>
  <c r="M85" i="1"/>
  <c r="N85" i="1" s="1"/>
  <c r="L85" i="1"/>
  <c r="G85" i="1"/>
  <c r="S84" i="1"/>
  <c r="P84" i="1"/>
  <c r="Q84" i="1" s="1"/>
  <c r="N84" i="1"/>
  <c r="M84" i="1"/>
  <c r="H84" i="1" s="1"/>
  <c r="L84" i="1"/>
  <c r="G84" i="1"/>
  <c r="O83" i="1"/>
  <c r="G83" i="1" s="1"/>
  <c r="L83" i="1"/>
  <c r="M83" i="1" s="1"/>
  <c r="N83" i="1" s="1"/>
  <c r="Q82" i="1"/>
  <c r="S82" i="1" s="1"/>
  <c r="P82" i="1"/>
  <c r="M82" i="1"/>
  <c r="L82" i="1"/>
  <c r="G82" i="1"/>
  <c r="O81" i="1"/>
  <c r="P81" i="1" s="1"/>
  <c r="N81" i="1"/>
  <c r="L81" i="1"/>
  <c r="M81" i="1" s="1"/>
  <c r="H81" i="1" s="1"/>
  <c r="G81" i="1"/>
  <c r="Q80" i="1"/>
  <c r="S80" i="1" s="1"/>
  <c r="P80" i="1"/>
  <c r="H80" i="1" s="1"/>
  <c r="L80" i="1"/>
  <c r="M80" i="1" s="1"/>
  <c r="N80" i="1" s="1"/>
  <c r="G80" i="1"/>
  <c r="P79" i="1"/>
  <c r="O79" i="1"/>
  <c r="G79" i="1" s="1"/>
  <c r="M79" i="1"/>
  <c r="N79" i="1" s="1"/>
  <c r="L79" i="1"/>
  <c r="P78" i="1"/>
  <c r="Q78" i="1" s="1"/>
  <c r="S78" i="1" s="1"/>
  <c r="N78" i="1"/>
  <c r="M78" i="1"/>
  <c r="H78" i="1" s="1"/>
  <c r="L78" i="1"/>
  <c r="G78" i="1"/>
  <c r="P77" i="1"/>
  <c r="O77" i="1"/>
  <c r="G77" i="1" s="1"/>
  <c r="L77" i="1"/>
  <c r="M77" i="1" s="1"/>
  <c r="N77" i="1" s="1"/>
  <c r="O76" i="1"/>
  <c r="P76" i="1" s="1"/>
  <c r="H76" i="1" s="1"/>
  <c r="N76" i="1"/>
  <c r="M76" i="1"/>
  <c r="L76" i="1"/>
  <c r="G76" i="1"/>
  <c r="P75" i="1"/>
  <c r="O75" i="1"/>
  <c r="M75" i="1"/>
  <c r="N75" i="1" s="1"/>
  <c r="K75" i="1"/>
  <c r="G75" i="1"/>
  <c r="O74" i="1"/>
  <c r="G74" i="1" s="1"/>
  <c r="N74" i="1"/>
  <c r="M74" i="1"/>
  <c r="L74" i="1"/>
  <c r="P73" i="1"/>
  <c r="H73" i="1" s="1"/>
  <c r="N73" i="1"/>
  <c r="M73" i="1"/>
  <c r="L73" i="1"/>
  <c r="G73" i="1"/>
  <c r="P72" i="1"/>
  <c r="H72" i="1" s="1"/>
  <c r="O72" i="1"/>
  <c r="G72" i="1" s="1"/>
  <c r="L72" i="1"/>
  <c r="M72" i="1" s="1"/>
  <c r="N72" i="1" s="1"/>
  <c r="P71" i="1"/>
  <c r="H71" i="1" s="1"/>
  <c r="O71" i="1"/>
  <c r="G71" i="1" s="1"/>
  <c r="M71" i="1"/>
  <c r="N71" i="1" s="1"/>
  <c r="L71" i="1"/>
  <c r="P70" i="1"/>
  <c r="H70" i="1" s="1"/>
  <c r="O70" i="1"/>
  <c r="N70" i="1"/>
  <c r="M70" i="1"/>
  <c r="Q70" i="1" s="1"/>
  <c r="L70" i="1"/>
  <c r="G70" i="1"/>
  <c r="P69" i="1"/>
  <c r="N69" i="1"/>
  <c r="M69" i="1"/>
  <c r="Q69" i="1" s="1"/>
  <c r="L69" i="1"/>
  <c r="G69" i="1"/>
  <c r="P68" i="1"/>
  <c r="N68" i="1"/>
  <c r="M68" i="1"/>
  <c r="Q68" i="1" s="1"/>
  <c r="L68" i="1"/>
  <c r="G68" i="1"/>
  <c r="O67" i="1"/>
  <c r="N67" i="1"/>
  <c r="M67" i="1"/>
  <c r="L67" i="1"/>
  <c r="Q66" i="1"/>
  <c r="S66" i="1" s="1"/>
  <c r="P66" i="1"/>
  <c r="L66" i="1"/>
  <c r="M66" i="1" s="1"/>
  <c r="G66" i="1"/>
  <c r="P65" i="1"/>
  <c r="H65" i="1" s="1"/>
  <c r="O65" i="1"/>
  <c r="N65" i="1"/>
  <c r="M65" i="1"/>
  <c r="Q65" i="1" s="1"/>
  <c r="S65" i="1" s="1"/>
  <c r="L65" i="1"/>
  <c r="G65" i="1"/>
  <c r="P64" i="1"/>
  <c r="O64" i="1"/>
  <c r="G64" i="1" s="1"/>
  <c r="K64" i="1"/>
  <c r="M64" i="1" s="1"/>
  <c r="N64" i="1" s="1"/>
  <c r="M63" i="1"/>
  <c r="L63" i="1"/>
  <c r="J63" i="1"/>
  <c r="P63" i="1" s="1"/>
  <c r="G63" i="1"/>
  <c r="S62" i="1"/>
  <c r="P62" i="1"/>
  <c r="G62" i="1"/>
  <c r="P61" i="1"/>
  <c r="O61" i="1"/>
  <c r="L61" i="1"/>
  <c r="M61" i="1" s="1"/>
  <c r="J61" i="1"/>
  <c r="N61" i="1" s="1"/>
  <c r="P60" i="1"/>
  <c r="M60" i="1"/>
  <c r="G60" i="1"/>
  <c r="O59" i="1"/>
  <c r="N59" i="1"/>
  <c r="J59" i="1"/>
  <c r="P59" i="1" s="1"/>
  <c r="Q59" i="1" s="1"/>
  <c r="S59" i="1" s="1"/>
  <c r="O58" i="1"/>
  <c r="N58" i="1"/>
  <c r="M58" i="1"/>
  <c r="K58" i="1"/>
  <c r="P57" i="1"/>
  <c r="H57" i="1" s="1"/>
  <c r="O57" i="1"/>
  <c r="G57" i="1" s="1"/>
  <c r="M57" i="1"/>
  <c r="N57" i="1" s="1"/>
  <c r="K57" i="1"/>
  <c r="P56" i="1"/>
  <c r="N56" i="1"/>
  <c r="M56" i="1"/>
  <c r="Q56" i="1" s="1"/>
  <c r="S56" i="1" s="1"/>
  <c r="K56" i="1"/>
  <c r="G56" i="1"/>
  <c r="P55" i="1"/>
  <c r="Q55" i="1" s="1"/>
  <c r="S55" i="1" s="1"/>
  <c r="N55" i="1"/>
  <c r="M55" i="1"/>
  <c r="L55" i="1"/>
  <c r="H55" i="1"/>
  <c r="G55" i="1"/>
  <c r="Q54" i="1"/>
  <c r="S54" i="1" s="1"/>
  <c r="P54" i="1"/>
  <c r="O54" i="1"/>
  <c r="G54" i="1" s="1"/>
  <c r="M54" i="1"/>
  <c r="N54" i="1" s="1"/>
  <c r="L54" i="1"/>
  <c r="P53" i="1"/>
  <c r="N53" i="1"/>
  <c r="M53" i="1"/>
  <c r="Q53" i="1" s="1"/>
  <c r="S53" i="1" s="1"/>
  <c r="L53" i="1"/>
  <c r="G53" i="1"/>
  <c r="P52" i="1"/>
  <c r="O52" i="1"/>
  <c r="G52" i="1" s="1"/>
  <c r="L52" i="1"/>
  <c r="M52" i="1" s="1"/>
  <c r="N52" i="1" s="1"/>
  <c r="P51" i="1"/>
  <c r="M51" i="1"/>
  <c r="L51" i="1"/>
  <c r="G51" i="1"/>
  <c r="P50" i="1"/>
  <c r="N50" i="1"/>
  <c r="M50" i="1"/>
  <c r="Q50" i="1" s="1"/>
  <c r="S50" i="1" s="1"/>
  <c r="L50" i="1"/>
  <c r="G50" i="1"/>
  <c r="P49" i="1"/>
  <c r="O49" i="1"/>
  <c r="G49" i="1" s="1"/>
  <c r="L49" i="1"/>
  <c r="M49" i="1" s="1"/>
  <c r="N49" i="1" s="1"/>
  <c r="P48" i="1"/>
  <c r="H48" i="1" s="1"/>
  <c r="O48" i="1"/>
  <c r="N48" i="1"/>
  <c r="M48" i="1"/>
  <c r="Q48" i="1" s="1"/>
  <c r="S48" i="1" s="1"/>
  <c r="L48" i="1"/>
  <c r="G48" i="1"/>
  <c r="P47" i="1"/>
  <c r="Q47" i="1" s="1"/>
  <c r="S47" i="1" s="1"/>
  <c r="N47" i="1"/>
  <c r="M47" i="1"/>
  <c r="L47" i="1"/>
  <c r="H47" i="1"/>
  <c r="G47" i="1"/>
  <c r="O46" i="1"/>
  <c r="L46" i="1"/>
  <c r="M46" i="1" s="1"/>
  <c r="Q45" i="1"/>
  <c r="S45" i="1" s="1"/>
  <c r="P45" i="1"/>
  <c r="L45" i="1"/>
  <c r="M45" i="1" s="1"/>
  <c r="G45" i="1"/>
  <c r="L44" i="1"/>
  <c r="M44" i="1" s="1"/>
  <c r="P43" i="1"/>
  <c r="L43" i="1"/>
  <c r="M43" i="1" s="1"/>
  <c r="G43" i="1"/>
  <c r="P42" i="1"/>
  <c r="H42" i="1" s="1"/>
  <c r="O42" i="1"/>
  <c r="N42" i="1"/>
  <c r="M42" i="1"/>
  <c r="Q42" i="1" s="1"/>
  <c r="S42" i="1" s="1"/>
  <c r="L42" i="1"/>
  <c r="G42" i="1"/>
  <c r="P41" i="1"/>
  <c r="O41" i="1"/>
  <c r="G41" i="1" s="1"/>
  <c r="L41" i="1"/>
  <c r="M41" i="1" s="1"/>
  <c r="N41" i="1" s="1"/>
  <c r="P40" i="1"/>
  <c r="M40" i="1"/>
  <c r="L40" i="1"/>
  <c r="G40" i="1"/>
  <c r="P39" i="1"/>
  <c r="N39" i="1"/>
  <c r="M39" i="1"/>
  <c r="Q39" i="1" s="1"/>
  <c r="S39" i="1" s="1"/>
  <c r="L39" i="1"/>
  <c r="G39" i="1"/>
  <c r="P38" i="1"/>
  <c r="O38" i="1"/>
  <c r="G38" i="1" s="1"/>
  <c r="L38" i="1"/>
  <c r="M38" i="1" s="1"/>
  <c r="N38" i="1" s="1"/>
  <c r="P37" i="1"/>
  <c r="L37" i="1"/>
  <c r="M37" i="1" s="1"/>
  <c r="Q37" i="1" s="1"/>
  <c r="G37" i="1"/>
  <c r="P36" i="1"/>
  <c r="H36" i="1" s="1"/>
  <c r="O36" i="1"/>
  <c r="N36" i="1"/>
  <c r="M36" i="1"/>
  <c r="Q36" i="1" s="1"/>
  <c r="S36" i="1" s="1"/>
  <c r="L36" i="1"/>
  <c r="G36" i="1"/>
  <c r="O35" i="1"/>
  <c r="N35" i="1"/>
  <c r="M35" i="1"/>
  <c r="L35" i="1"/>
  <c r="Q34" i="1"/>
  <c r="S34" i="1" s="1"/>
  <c r="P34" i="1"/>
  <c r="H34" i="1" s="1"/>
  <c r="O34" i="1"/>
  <c r="G34" i="1" s="1"/>
  <c r="M34" i="1"/>
  <c r="N34" i="1" s="1"/>
  <c r="L34" i="1"/>
  <c r="P33" i="1"/>
  <c r="M33" i="1"/>
  <c r="L33" i="1"/>
  <c r="G33" i="1"/>
  <c r="P32" i="1"/>
  <c r="M32" i="1"/>
  <c r="L32" i="1"/>
  <c r="G32" i="1"/>
  <c r="P31" i="1"/>
  <c r="M31" i="1"/>
  <c r="L31" i="1"/>
  <c r="G31" i="1"/>
  <c r="P30" i="1"/>
  <c r="M30" i="1"/>
  <c r="L30" i="1"/>
  <c r="G30" i="1"/>
  <c r="P29" i="1"/>
  <c r="M29" i="1"/>
  <c r="L29" i="1"/>
  <c r="G29" i="1"/>
  <c r="P28" i="1"/>
  <c r="M28" i="1"/>
  <c r="L28" i="1"/>
  <c r="G28" i="1"/>
  <c r="O27" i="1"/>
  <c r="N27" i="1"/>
  <c r="M27" i="1"/>
  <c r="L27" i="1"/>
  <c r="P26" i="1"/>
  <c r="H26" i="1" s="1"/>
  <c r="O26" i="1"/>
  <c r="G26" i="1" s="1"/>
  <c r="M26" i="1"/>
  <c r="N26" i="1" s="1"/>
  <c r="L26" i="1"/>
  <c r="O25" i="1"/>
  <c r="N25" i="1"/>
  <c r="M25" i="1"/>
  <c r="L25" i="1"/>
  <c r="P24" i="1"/>
  <c r="L24" i="1"/>
  <c r="M24" i="1" s="1"/>
  <c r="G24" i="1"/>
  <c r="P23" i="1"/>
  <c r="H23" i="1" s="1"/>
  <c r="O23" i="1"/>
  <c r="N23" i="1"/>
  <c r="M23" i="1"/>
  <c r="Q23" i="1" s="1"/>
  <c r="S23" i="1" s="1"/>
  <c r="K23" i="1"/>
  <c r="G23" i="1"/>
  <c r="P22" i="1"/>
  <c r="O22" i="1"/>
  <c r="G22" i="1" s="1"/>
  <c r="L22" i="1"/>
  <c r="M22" i="1" s="1"/>
  <c r="N22" i="1" s="1"/>
  <c r="Q21" i="1"/>
  <c r="P21" i="1"/>
  <c r="L21" i="1"/>
  <c r="M21" i="1" s="1"/>
  <c r="G21" i="1"/>
  <c r="Q20" i="1"/>
  <c r="P20" i="1"/>
  <c r="L20" i="1"/>
  <c r="M20" i="1" s="1"/>
  <c r="G20" i="1"/>
  <c r="Q19" i="1"/>
  <c r="P19" i="1"/>
  <c r="L19" i="1"/>
  <c r="M19" i="1" s="1"/>
  <c r="G19" i="1"/>
  <c r="Q18" i="1"/>
  <c r="P18" i="1"/>
  <c r="L18" i="1"/>
  <c r="M18" i="1" s="1"/>
  <c r="G18" i="1"/>
  <c r="Q17" i="1"/>
  <c r="P17" i="1"/>
  <c r="L17" i="1"/>
  <c r="M17" i="1" s="1"/>
  <c r="G17" i="1"/>
  <c r="P16" i="1"/>
  <c r="H16" i="1" s="1"/>
  <c r="O16" i="1"/>
  <c r="N16" i="1"/>
  <c r="M16" i="1"/>
  <c r="Q16" i="1" s="1"/>
  <c r="S16" i="1" s="1"/>
  <c r="L16" i="1"/>
  <c r="G16" i="1"/>
  <c r="O15" i="1"/>
  <c r="G15" i="1" s="1"/>
  <c r="L15" i="1"/>
  <c r="M15" i="1" s="1"/>
  <c r="N15" i="1" s="1"/>
  <c r="P14" i="1"/>
  <c r="M14" i="1"/>
  <c r="L14" i="1"/>
  <c r="G14" i="1"/>
  <c r="S13" i="1"/>
  <c r="O13" i="1"/>
  <c r="P13" i="1" s="1"/>
  <c r="Q13" i="1" s="1"/>
  <c r="N13" i="1"/>
  <c r="M13" i="1"/>
  <c r="L13" i="1"/>
  <c r="H13" i="1"/>
  <c r="G13" i="1"/>
  <c r="O12" i="1"/>
  <c r="G12" i="1" s="1"/>
  <c r="L12" i="1"/>
  <c r="M12" i="1" s="1"/>
  <c r="N12" i="1" s="1"/>
  <c r="Q11" i="1"/>
  <c r="S11" i="1" s="1"/>
  <c r="P11" i="1"/>
  <c r="M11" i="1"/>
  <c r="L11" i="1"/>
  <c r="G11" i="1"/>
  <c r="P10" i="1"/>
  <c r="N10" i="1"/>
  <c r="M10" i="1"/>
  <c r="L10" i="1"/>
  <c r="G10" i="1"/>
  <c r="B10" i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O9" i="1"/>
  <c r="G9" i="1" s="1"/>
  <c r="L9" i="1"/>
  <c r="M9" i="1" s="1"/>
  <c r="N9" i="1" s="1"/>
  <c r="H24" i="1" l="1"/>
  <c r="N24" i="1"/>
  <c r="H43" i="1"/>
  <c r="N43" i="1"/>
  <c r="Q51" i="1"/>
  <c r="S51" i="1" s="1"/>
  <c r="H51" i="1"/>
  <c r="N51" i="1"/>
  <c r="Q63" i="1"/>
  <c r="S63" i="1" s="1"/>
  <c r="H63" i="1"/>
  <c r="P12" i="1"/>
  <c r="Q26" i="1"/>
  <c r="S26" i="1" s="1"/>
  <c r="Q31" i="1"/>
  <c r="H31" i="1"/>
  <c r="N31" i="1"/>
  <c r="H38" i="1"/>
  <c r="Q38" i="1"/>
  <c r="S38" i="1" s="1"/>
  <c r="H46" i="1"/>
  <c r="N46" i="1"/>
  <c r="H52" i="1"/>
  <c r="Q52" i="1"/>
  <c r="S52" i="1" s="1"/>
  <c r="Q57" i="1"/>
  <c r="S57" i="1" s="1"/>
  <c r="Q60" i="1"/>
  <c r="H60" i="1"/>
  <c r="N60" i="1"/>
  <c r="H14" i="1"/>
  <c r="N14" i="1"/>
  <c r="H11" i="1"/>
  <c r="N11" i="1"/>
  <c r="Q14" i="1"/>
  <c r="S14" i="1" s="1"/>
  <c r="H19" i="1"/>
  <c r="N19" i="1"/>
  <c r="H21" i="1"/>
  <c r="N21" i="1"/>
  <c r="Q24" i="1"/>
  <c r="S24" i="1" s="1"/>
  <c r="G27" i="1"/>
  <c r="P27" i="1"/>
  <c r="Q32" i="1"/>
  <c r="H32" i="1"/>
  <c r="N32" i="1"/>
  <c r="Q40" i="1"/>
  <c r="S40" i="1" s="1"/>
  <c r="H40" i="1"/>
  <c r="N40" i="1"/>
  <c r="Q43" i="1"/>
  <c r="S43" i="1" s="1"/>
  <c r="H45" i="1"/>
  <c r="N45" i="1"/>
  <c r="G58" i="1"/>
  <c r="P58" i="1"/>
  <c r="H64" i="1"/>
  <c r="Q64" i="1"/>
  <c r="S64" i="1" s="1"/>
  <c r="G67" i="1"/>
  <c r="P67" i="1"/>
  <c r="Q30" i="1"/>
  <c r="H30" i="1"/>
  <c r="N30" i="1"/>
  <c r="H17" i="1"/>
  <c r="N17" i="1"/>
  <c r="H18" i="1"/>
  <c r="N18" i="1"/>
  <c r="H20" i="1"/>
  <c r="N20" i="1"/>
  <c r="Q28" i="1"/>
  <c r="H28" i="1"/>
  <c r="N28" i="1"/>
  <c r="P9" i="1"/>
  <c r="Q10" i="1"/>
  <c r="S10" i="1" s="1"/>
  <c r="H10" i="1"/>
  <c r="P15" i="1"/>
  <c r="H22" i="1"/>
  <c r="Q22" i="1"/>
  <c r="S22" i="1" s="1"/>
  <c r="G25" i="1"/>
  <c r="P25" i="1"/>
  <c r="Q29" i="1"/>
  <c r="H29" i="1"/>
  <c r="N29" i="1"/>
  <c r="Q33" i="1"/>
  <c r="H33" i="1"/>
  <c r="N33" i="1"/>
  <c r="G35" i="1"/>
  <c r="P35" i="1"/>
  <c r="H41" i="1"/>
  <c r="Q41" i="1"/>
  <c r="S41" i="1" s="1"/>
  <c r="Q44" i="1"/>
  <c r="S44" i="1" s="1"/>
  <c r="H44" i="1"/>
  <c r="N44" i="1"/>
  <c r="Q46" i="1"/>
  <c r="S46" i="1" s="1"/>
  <c r="H49" i="1"/>
  <c r="Q49" i="1"/>
  <c r="S49" i="1" s="1"/>
  <c r="H54" i="1"/>
  <c r="H61" i="1"/>
  <c r="Q61" i="1"/>
  <c r="S61" i="1" s="1"/>
  <c r="H66" i="1"/>
  <c r="N66" i="1"/>
  <c r="H37" i="1"/>
  <c r="N37" i="1"/>
  <c r="N92" i="1"/>
  <c r="Q92" i="1"/>
  <c r="S92" i="1" s="1"/>
  <c r="Q71" i="1"/>
  <c r="Q107" i="1"/>
  <c r="S107" i="1" s="1"/>
  <c r="H107" i="1"/>
  <c r="Q112" i="1"/>
  <c r="H112" i="1"/>
  <c r="Q118" i="1"/>
  <c r="H118" i="1"/>
  <c r="H39" i="1"/>
  <c r="H50" i="1"/>
  <c r="H53" i="1"/>
  <c r="H56" i="1"/>
  <c r="G59" i="1"/>
  <c r="H59" i="1" s="1"/>
  <c r="G61" i="1"/>
  <c r="N63" i="1"/>
  <c r="H68" i="1"/>
  <c r="H69" i="1"/>
  <c r="Q72" i="1"/>
  <c r="Q73" i="1"/>
  <c r="P74" i="1"/>
  <c r="Q76" i="1"/>
  <c r="S76" i="1" s="1"/>
  <c r="Q81" i="1"/>
  <c r="S81" i="1" s="1"/>
  <c r="P83" i="1"/>
  <c r="G93" i="1"/>
  <c r="H97" i="1"/>
  <c r="G99" i="1"/>
  <c r="P101" i="1"/>
  <c r="G101" i="1"/>
  <c r="N102" i="1"/>
  <c r="Q102" i="1"/>
  <c r="S102" i="1" s="1"/>
  <c r="H102" i="1"/>
  <c r="H108" i="1"/>
  <c r="Q108" i="1"/>
  <c r="S108" i="1" s="1"/>
  <c r="Q109" i="1"/>
  <c r="S109" i="1" s="1"/>
  <c r="H109" i="1"/>
  <c r="H115" i="1"/>
  <c r="N115" i="1"/>
  <c r="Q117" i="1"/>
  <c r="H120" i="1"/>
  <c r="P122" i="1"/>
  <c r="G122" i="1"/>
  <c r="N123" i="1"/>
  <c r="Q123" i="1"/>
  <c r="S123" i="1" s="1"/>
  <c r="H123" i="1"/>
  <c r="Q128" i="1"/>
  <c r="H128" i="1"/>
  <c r="Q99" i="1"/>
  <c r="S99" i="1" s="1"/>
  <c r="H99" i="1"/>
  <c r="H106" i="1"/>
  <c r="Q106" i="1"/>
  <c r="S106" i="1" s="1"/>
  <c r="N114" i="1"/>
  <c r="H114" i="1"/>
  <c r="H124" i="1"/>
  <c r="N124" i="1"/>
  <c r="H75" i="1"/>
  <c r="Q75" i="1"/>
  <c r="S75" i="1" s="1"/>
  <c r="Q77" i="1"/>
  <c r="S77" i="1" s="1"/>
  <c r="H79" i="1"/>
  <c r="H82" i="1"/>
  <c r="N82" i="1"/>
  <c r="H85" i="1"/>
  <c r="Q91" i="1"/>
  <c r="H95" i="1"/>
  <c r="Q95" i="1"/>
  <c r="Q96" i="1"/>
  <c r="S96" i="1" s="1"/>
  <c r="Q103" i="1"/>
  <c r="S103" i="1" s="1"/>
  <c r="H103" i="1"/>
  <c r="H113" i="1"/>
  <c r="P116" i="1"/>
  <c r="G116" i="1"/>
  <c r="Q120" i="1"/>
  <c r="S120" i="1" s="1"/>
  <c r="Q124" i="1"/>
  <c r="S124" i="1" s="1"/>
  <c r="H77" i="1"/>
  <c r="Q79" i="1"/>
  <c r="Q85" i="1"/>
  <c r="S85" i="1" s="1"/>
  <c r="H92" i="1"/>
  <c r="H96" i="1"/>
  <c r="H104" i="1"/>
  <c r="Q104" i="1"/>
  <c r="S104" i="1" s="1"/>
  <c r="Q105" i="1"/>
  <c r="S105" i="1" s="1"/>
  <c r="H105" i="1"/>
  <c r="N111" i="1"/>
  <c r="Q111" i="1"/>
  <c r="S111" i="1" s="1"/>
  <c r="H111" i="1"/>
  <c r="Q114" i="1"/>
  <c r="P119" i="1"/>
  <c r="G119" i="1"/>
  <c r="H100" i="1"/>
  <c r="N100" i="1"/>
  <c r="Q126" i="1"/>
  <c r="S126" i="1" s="1"/>
  <c r="H126" i="1"/>
  <c r="G124" i="1"/>
  <c r="G125" i="1"/>
  <c r="P125" i="1"/>
  <c r="H127" i="1"/>
  <c r="Q127" i="1"/>
  <c r="S127" i="1" s="1"/>
  <c r="H129" i="1"/>
  <c r="G130" i="1"/>
  <c r="P130" i="1"/>
  <c r="H131" i="1"/>
  <c r="N131" i="1"/>
  <c r="Q140" i="1"/>
  <c r="H141" i="1"/>
  <c r="H147" i="1"/>
  <c r="Q147" i="1"/>
  <c r="S147" i="1" s="1"/>
  <c r="H149" i="1"/>
  <c r="H152" i="1"/>
  <c r="Q152" i="1"/>
  <c r="Q157" i="1"/>
  <c r="H158" i="1"/>
  <c r="Q163" i="1"/>
  <c r="S163" i="1" s="1"/>
  <c r="Q171" i="1"/>
  <c r="S171" i="1" s="1"/>
  <c r="H171" i="1"/>
  <c r="H138" i="1"/>
  <c r="N138" i="1"/>
  <c r="Q141" i="1"/>
  <c r="H143" i="1"/>
  <c r="Q143" i="1"/>
  <c r="G144" i="1"/>
  <c r="P144" i="1"/>
  <c r="Q149" i="1"/>
  <c r="S149" i="1" s="1"/>
  <c r="Q158" i="1"/>
  <c r="S158" i="1" s="1"/>
  <c r="G159" i="1"/>
  <c r="P159" i="1"/>
  <c r="H161" i="1"/>
  <c r="N161" i="1"/>
  <c r="P175" i="1"/>
  <c r="G175" i="1"/>
  <c r="G133" i="1"/>
  <c r="P133" i="1"/>
  <c r="H135" i="1"/>
  <c r="N135" i="1"/>
  <c r="H146" i="1"/>
  <c r="N146" i="1"/>
  <c r="Q148" i="1"/>
  <c r="S148" i="1" s="1"/>
  <c r="H148" i="1"/>
  <c r="Q137" i="1"/>
  <c r="S137" i="1" s="1"/>
  <c r="H137" i="1"/>
  <c r="H139" i="1"/>
  <c r="Q139" i="1"/>
  <c r="S139" i="1" s="1"/>
  <c r="H142" i="1"/>
  <c r="N142" i="1"/>
  <c r="Q146" i="1"/>
  <c r="S146" i="1" s="1"/>
  <c r="N148" i="1"/>
  <c r="H150" i="1"/>
  <c r="H155" i="1"/>
  <c r="Q155" i="1"/>
  <c r="G156" i="1"/>
  <c r="P156" i="1"/>
  <c r="H157" i="1"/>
  <c r="N157" i="1"/>
  <c r="G162" i="1"/>
  <c r="P162" i="1"/>
  <c r="H163" i="1"/>
  <c r="N163" i="1"/>
  <c r="H164" i="1"/>
  <c r="N164" i="1"/>
  <c r="G129" i="1"/>
  <c r="G132" i="1"/>
  <c r="H134" i="1"/>
  <c r="H140" i="1"/>
  <c r="G141" i="1"/>
  <c r="H145" i="1"/>
  <c r="G149" i="1"/>
  <c r="H151" i="1"/>
  <c r="H154" i="1"/>
  <c r="G158" i="1"/>
  <c r="H160" i="1"/>
  <c r="Q169" i="1"/>
  <c r="S169" i="1" s="1"/>
  <c r="Q170" i="1"/>
  <c r="S170" i="1" s="1"/>
  <c r="P173" i="1"/>
  <c r="G173" i="1"/>
  <c r="H187" i="1"/>
  <c r="N187" i="1"/>
  <c r="Q187" i="1"/>
  <c r="H191" i="1"/>
  <c r="N191" i="1"/>
  <c r="Q191" i="1"/>
  <c r="H215" i="1"/>
  <c r="N215" i="1"/>
  <c r="Q215" i="1"/>
  <c r="S215" i="1" s="1"/>
  <c r="H218" i="1"/>
  <c r="N218" i="1"/>
  <c r="Q219" i="1"/>
  <c r="S219" i="1" s="1"/>
  <c r="H231" i="1"/>
  <c r="N231" i="1"/>
  <c r="Q233" i="1"/>
  <c r="S233" i="1" s="1"/>
  <c r="H233" i="1"/>
  <c r="N233" i="1"/>
  <c r="Q234" i="1"/>
  <c r="S234" i="1" s="1"/>
  <c r="H181" i="1"/>
  <c r="H186" i="1"/>
  <c r="N186" i="1"/>
  <c r="Q186" i="1"/>
  <c r="H190" i="1"/>
  <c r="N190" i="1"/>
  <c r="Q190" i="1"/>
  <c r="Q201" i="1"/>
  <c r="S201" i="1" s="1"/>
  <c r="H201" i="1"/>
  <c r="N201" i="1"/>
  <c r="H214" i="1"/>
  <c r="H227" i="1" s="1"/>
  <c r="N214" i="1"/>
  <c r="Q214" i="1"/>
  <c r="Q217" i="1"/>
  <c r="S217" i="1" s="1"/>
  <c r="H217" i="1"/>
  <c r="N217" i="1"/>
  <c r="H230" i="1"/>
  <c r="N230" i="1"/>
  <c r="H167" i="1"/>
  <c r="N170" i="1"/>
  <c r="S185" i="1"/>
  <c r="H189" i="1"/>
  <c r="N189" i="1"/>
  <c r="Q189" i="1"/>
  <c r="Q196" i="1"/>
  <c r="S196" i="1" s="1"/>
  <c r="H196" i="1"/>
  <c r="N196" i="1"/>
  <c r="H198" i="1"/>
  <c r="N198" i="1"/>
  <c r="Q198" i="1"/>
  <c r="S198" i="1" s="1"/>
  <c r="H203" i="1"/>
  <c r="Q203" i="1"/>
  <c r="S203" i="1" s="1"/>
  <c r="H226" i="1"/>
  <c r="N226" i="1"/>
  <c r="Q230" i="1"/>
  <c r="S230" i="1" s="1"/>
  <c r="H235" i="1"/>
  <c r="N235" i="1"/>
  <c r="H188" i="1"/>
  <c r="N188" i="1"/>
  <c r="Q188" i="1"/>
  <c r="Q206" i="1" s="1"/>
  <c r="H192" i="1"/>
  <c r="H206" i="1" s="1"/>
  <c r="N192" i="1"/>
  <c r="Q192" i="1"/>
  <c r="S192" i="1" s="1"/>
  <c r="H219" i="1"/>
  <c r="N219" i="1"/>
  <c r="Q225" i="1"/>
  <c r="S225" i="1" s="1"/>
  <c r="H225" i="1"/>
  <c r="N225" i="1"/>
  <c r="H234" i="1"/>
  <c r="N234" i="1"/>
  <c r="H179" i="1"/>
  <c r="H193" i="1"/>
  <c r="H194" i="1"/>
  <c r="H195" i="1"/>
  <c r="H199" i="1"/>
  <c r="H200" i="1"/>
  <c r="H204" i="1"/>
  <c r="H205" i="1"/>
  <c r="Q212" i="1"/>
  <c r="Q213" i="1"/>
  <c r="H232" i="1"/>
  <c r="P174" i="1"/>
  <c r="P176" i="1"/>
  <c r="H180" i="1"/>
  <c r="Q181" i="1"/>
  <c r="S181" i="1" s="1"/>
  <c r="G203" i="1"/>
  <c r="Q204" i="1"/>
  <c r="Q205" i="1"/>
  <c r="S205" i="1" s="1"/>
  <c r="Q224" i="1"/>
  <c r="S224" i="1" s="1"/>
  <c r="H224" i="1"/>
  <c r="Q162" i="1" l="1"/>
  <c r="S162" i="1" s="1"/>
  <c r="H162" i="1"/>
  <c r="Q156" i="1"/>
  <c r="S156" i="1" s="1"/>
  <c r="H156" i="1"/>
  <c r="Q116" i="1"/>
  <c r="S116" i="1" s="1"/>
  <c r="H116" i="1"/>
  <c r="Q9" i="1"/>
  <c r="H9" i="1"/>
  <c r="Q27" i="1"/>
  <c r="S27" i="1" s="1"/>
  <c r="H27" i="1"/>
  <c r="H176" i="1"/>
  <c r="Q176" i="1"/>
  <c r="S176" i="1" s="1"/>
  <c r="Q159" i="1"/>
  <c r="H159" i="1"/>
  <c r="Q144" i="1"/>
  <c r="H144" i="1"/>
  <c r="Q122" i="1"/>
  <c r="S122" i="1" s="1"/>
  <c r="H122" i="1"/>
  <c r="Q74" i="1"/>
  <c r="S74" i="1" s="1"/>
  <c r="H74" i="1"/>
  <c r="Q35" i="1"/>
  <c r="H35" i="1"/>
  <c r="Q25" i="1"/>
  <c r="S25" i="1" s="1"/>
  <c r="H25" i="1"/>
  <c r="Q15" i="1"/>
  <c r="S15" i="1" s="1"/>
  <c r="H15" i="1"/>
  <c r="Q67" i="1"/>
  <c r="H67" i="1"/>
  <c r="Q58" i="1"/>
  <c r="S58" i="1" s="1"/>
  <c r="H58" i="1"/>
  <c r="Q174" i="1"/>
  <c r="S174" i="1" s="1"/>
  <c r="H174" i="1"/>
  <c r="Q173" i="1"/>
  <c r="S173" i="1" s="1"/>
  <c r="H173" i="1"/>
  <c r="Q175" i="1"/>
  <c r="S175" i="1" s="1"/>
  <c r="H175" i="1"/>
  <c r="Q130" i="1"/>
  <c r="S130" i="1" s="1"/>
  <c r="H130" i="1"/>
  <c r="Q101" i="1"/>
  <c r="S101" i="1" s="1"/>
  <c r="H101" i="1"/>
  <c r="Q83" i="1"/>
  <c r="S83" i="1" s="1"/>
  <c r="H83" i="1"/>
  <c r="Q12" i="1"/>
  <c r="H12" i="1"/>
  <c r="H243" i="1"/>
  <c r="Q133" i="1"/>
  <c r="H133" i="1"/>
  <c r="Q125" i="1"/>
  <c r="H125" i="1"/>
  <c r="Q119" i="1"/>
  <c r="S119" i="1" s="1"/>
  <c r="H119" i="1"/>
  <c r="H182" i="1" l="1"/>
  <c r="H245" i="1" s="1"/>
  <c r="S9" i="1"/>
  <c r="Q182" i="1"/>
</calcChain>
</file>

<file path=xl/sharedStrings.xml><?xml version="1.0" encoding="utf-8"?>
<sst xmlns="http://schemas.openxmlformats.org/spreadsheetml/2006/main" count="1025" uniqueCount="440">
  <si>
    <t>INSTITUTO GEOGRÁFICO NACIONAL JOSÉ JOAQUÌN HUNGRÌA MORELL</t>
  </si>
  <si>
    <t>INVENTARIO DE ALMACÉN</t>
  </si>
  <si>
    <t>DEL 1 DE ENERO AL 30  DE SEPTIEMBRE 2022</t>
  </si>
  <si>
    <t>VALORES EN RD $</t>
  </si>
  <si>
    <t xml:space="preserve">MATERIALES Y SUMINISTRO DE OFICINA </t>
  </si>
  <si>
    <t>ITEM</t>
  </si>
  <si>
    <t>FECHA ADQ.</t>
  </si>
  <si>
    <t>FECHA  REG.</t>
  </si>
  <si>
    <t>CÓDIGO</t>
  </si>
  <si>
    <t>DESCRIPCIÓN</t>
  </si>
  <si>
    <t xml:space="preserve">Cantidad Actual </t>
  </si>
  <si>
    <t xml:space="preserve">Inventario Actual </t>
  </si>
  <si>
    <t>MEDIDA</t>
  </si>
  <si>
    <t>CANTIDAD</t>
  </si>
  <si>
    <t>UNITARIO</t>
  </si>
  <si>
    <t>ITBIS 18%</t>
  </si>
  <si>
    <t>CON ITBIS</t>
  </si>
  <si>
    <t>TOTAL</t>
  </si>
  <si>
    <t xml:space="preserve">Salida </t>
  </si>
  <si>
    <t>FACTURA</t>
  </si>
  <si>
    <t>ALM-ARC-001</t>
  </si>
  <si>
    <t>ARCHIVO ACORDEON PENDAFLEX 8 1/2*11</t>
  </si>
  <si>
    <t>UNIDAD</t>
  </si>
  <si>
    <t>ALM-BAN-002</t>
  </si>
  <si>
    <t xml:space="preserve">BANDEJA DE METAL PARA ESCRITORIO </t>
  </si>
  <si>
    <t>B1500000003</t>
  </si>
  <si>
    <t>ALM-BAN-001</t>
  </si>
  <si>
    <t>BANDEJA DE METAL PARA ESCRITORIO (2/1)</t>
  </si>
  <si>
    <t>27/11/2020</t>
  </si>
  <si>
    <t>22/12/2020</t>
  </si>
  <si>
    <t>ALM-BOR-001</t>
  </si>
  <si>
    <t>BORRA DE LECHE PEQUEÑA</t>
  </si>
  <si>
    <t>B1500000127</t>
  </si>
  <si>
    <t>ALM-BRO-001</t>
  </si>
  <si>
    <t>BROCHURE IMPRESOS FULL COLOR</t>
  </si>
  <si>
    <t>B1500000188</t>
  </si>
  <si>
    <t>ALM-CAJ/C-002</t>
  </si>
  <si>
    <t>CAJA DE CARTON PARA ARCHIVO MUERTO 8 1/2*11</t>
  </si>
  <si>
    <t>ALM-CART-001</t>
  </si>
  <si>
    <t>CARATULAS DE CD</t>
  </si>
  <si>
    <t>ALM-CAR-001</t>
  </si>
  <si>
    <t>CARPETA NUSTAR 1" BLANCA</t>
  </si>
  <si>
    <t>CARPETA POINTER  3 ARGOLLAS  NO. 1(BLANCA).</t>
  </si>
  <si>
    <t>ALM-CAR-002</t>
  </si>
  <si>
    <t>CARPETA POINTER  3 ARGOLLAS  NO. 1.5 (BLANCA).</t>
  </si>
  <si>
    <t>ALM-CAR-003</t>
  </si>
  <si>
    <t>CARPETA POINTER  3 ARGOLLAS  NO. 2 (BLANCA).</t>
  </si>
  <si>
    <t>ALM-CAR-004</t>
  </si>
  <si>
    <t>CARPETA POINTER  3 ARGOLLAS  NO. 3(BLANCA).</t>
  </si>
  <si>
    <t>ALM-CAR-005</t>
  </si>
  <si>
    <t>CARPETA POINTER  3 ARGOLLAS  NO. 4(BLANCA).</t>
  </si>
  <si>
    <t>CARPETA POINTER 1. 5" BLANCA</t>
  </si>
  <si>
    <t>ALM-CAR-006</t>
  </si>
  <si>
    <t>CARPETAS  5 " BLANCA</t>
  </si>
  <si>
    <t>B1500000327</t>
  </si>
  <si>
    <t>CARPETAS NUSTAR 1.5" BLANCA</t>
  </si>
  <si>
    <t>CARPETAS NUSTAR 3" BLANCA</t>
  </si>
  <si>
    <t>CARPETAS NUSTAR 5 " BLANCA</t>
  </si>
  <si>
    <t>ALM-CARM-001</t>
  </si>
  <si>
    <t>CARTUCHO DE MINA PUNTO 7</t>
  </si>
  <si>
    <t>ALM-CAR/P-002</t>
  </si>
  <si>
    <t>CARTUCHO PLOTER PFI-107 BK</t>
  </si>
  <si>
    <t>ALM-CAR/P-003</t>
  </si>
  <si>
    <t>CARTUCHO PLOTER PFI-107 C</t>
  </si>
  <si>
    <t>ALM-CAR/P-004</t>
  </si>
  <si>
    <t>CARTUCHO PLOTER PFI-107 M</t>
  </si>
  <si>
    <t>ALM-CAR/P-001</t>
  </si>
  <si>
    <t>CARTUCHO PLOTER PFI-107 MBK</t>
  </si>
  <si>
    <t>ALM-CAR/P-005</t>
  </si>
  <si>
    <t>CARTUCHO PLOTER PFI-107 Y</t>
  </si>
  <si>
    <t>ALM-CD-001</t>
  </si>
  <si>
    <t>CD-MAXELL CON CARATULA</t>
  </si>
  <si>
    <t>ALM-CD-002</t>
  </si>
  <si>
    <t>CD-MAXELL CON CARATULA   (CAJA 10/1)</t>
  </si>
  <si>
    <t>ALM-CER-001</t>
  </si>
  <si>
    <t>CERA PARA CONTAR</t>
  </si>
  <si>
    <t>ALM-CIN-003</t>
  </si>
  <si>
    <t>CINTA TRANSPARENTE 3/4</t>
  </si>
  <si>
    <t>ALM-CIN-002</t>
  </si>
  <si>
    <t>CINTA TRANSPARENTE FROZEN</t>
  </si>
  <si>
    <t>ALM-CIN-001</t>
  </si>
  <si>
    <t>CINTA TRANSPARENTE HIGHLAND (3/4)</t>
  </si>
  <si>
    <t>ALM-CLI-003</t>
  </si>
  <si>
    <t>CLIPS BILLETEROS ARTESCO (25 MM)</t>
  </si>
  <si>
    <t>CAJA</t>
  </si>
  <si>
    <t>ALM-CLI-002</t>
  </si>
  <si>
    <t>CLIPS BILLETEROS ARTESCO (41 MM)</t>
  </si>
  <si>
    <t>ALM-CLI-001</t>
  </si>
  <si>
    <t>CLIPS BILLETEROS ARTESCO (51 MM)</t>
  </si>
  <si>
    <t>ALM-CLI-004</t>
  </si>
  <si>
    <t>CLIPS GRANDE 50MM 10/1</t>
  </si>
  <si>
    <t>CLIPS GRANDE VELMER</t>
  </si>
  <si>
    <t>ALM-CLI-005</t>
  </si>
  <si>
    <t>CLIPS PEQUEÑO 33 MM 10/1</t>
  </si>
  <si>
    <t>CLIPS PEQUEÑO VELMER</t>
  </si>
  <si>
    <t>ALM-CONT-002</t>
  </si>
  <si>
    <t xml:space="preserve">CONTROL PROYECTOR </t>
  </si>
  <si>
    <t>ALM-COR-001</t>
  </si>
  <si>
    <t>CORRECTOR LIQUIDO TIPO LAPIZ POINTER</t>
  </si>
  <si>
    <t>ALM-DVD-001</t>
  </si>
  <si>
    <t>DVD CON CARATULA</t>
  </si>
  <si>
    <t>ALM-ENC-001</t>
  </si>
  <si>
    <t xml:space="preserve">ENCUADERNADORA ESPIRAL CONTINUO </t>
  </si>
  <si>
    <t>ALM-ESP-001</t>
  </si>
  <si>
    <t>ESPIRALES NORMALES (12MM ) (1/2)</t>
  </si>
  <si>
    <t>100/1</t>
  </si>
  <si>
    <t>ALM-ESP-002</t>
  </si>
  <si>
    <t>ESPIRALES NORMALES (16MM ) (5/8)</t>
  </si>
  <si>
    <t>ALM-FEL-002</t>
  </si>
  <si>
    <t xml:space="preserve">FELPA AZUL </t>
  </si>
  <si>
    <t>ALM-FEL-003</t>
  </si>
  <si>
    <t>FELPA AZUL ONYX CAJA 12/1</t>
  </si>
  <si>
    <t>FELPA NEGRA UNI-BALL</t>
  </si>
  <si>
    <t>FELPA ROJA</t>
  </si>
  <si>
    <t>ALM-FOL-001</t>
  </si>
  <si>
    <t>FOLDER MANILA PLUS 8 1/2*11</t>
  </si>
  <si>
    <t>CAJA 100/1</t>
  </si>
  <si>
    <t>FOLDER MANILA PLUS 8 1/2*11 100/0</t>
  </si>
  <si>
    <t>FOLDER MANILA PLUS 8 1/2*11 100/1</t>
  </si>
  <si>
    <t>FOLDER MANILA PLUS 8 1/2*11 AMARILLO 100/1</t>
  </si>
  <si>
    <t>ALM-FOL-003</t>
  </si>
  <si>
    <t>FOLDER MANILA PLUS 8 1/2*11 ROJO 100/1</t>
  </si>
  <si>
    <t>ALM-FOL-004</t>
  </si>
  <si>
    <t>FOLDER MANILA PLUS 8 1/2*11 ROSADO 100/1</t>
  </si>
  <si>
    <t>ALM-FOL-002</t>
  </si>
  <si>
    <t>FOLDER MANILA PLUS 8 1/2*11 VERDE 100/1</t>
  </si>
  <si>
    <t>FOLDER MANILA PLUS 8 1/2*13</t>
  </si>
  <si>
    <t>FOLDER MANILA PLUS 8 1/2*14</t>
  </si>
  <si>
    <t>FOLDER MANILA PLUS 8 1/2*14   100/1</t>
  </si>
  <si>
    <t>FOLDER PARTITION (2 DIVISIONES)</t>
  </si>
  <si>
    <t>CAJA 50/1</t>
  </si>
  <si>
    <t>ALM-FOL-005</t>
  </si>
  <si>
    <t>FOLDERS COLORES SURTIDOS (100/1)</t>
  </si>
  <si>
    <t>FOLDERS COLORES SURTIDOS (125/1)</t>
  </si>
  <si>
    <t>CAJA 125/1</t>
  </si>
  <si>
    <t>ALM-FOL-006</t>
  </si>
  <si>
    <t>FOLDERS INSTITUCIONALES</t>
  </si>
  <si>
    <t>ALM-GAN-001</t>
  </si>
  <si>
    <t>GANCHOS PARA FOLDER VELMER</t>
  </si>
  <si>
    <t>ALM-GOM-001</t>
  </si>
  <si>
    <t>GOMITAS</t>
  </si>
  <si>
    <t>ALM-GRAP-001</t>
  </si>
  <si>
    <t>GRAPADORA SWINGLE 444</t>
  </si>
  <si>
    <t>ALM-GRAP-003</t>
  </si>
  <si>
    <t>ALM-GRA-001</t>
  </si>
  <si>
    <t>GRAPAS 3/8 ARTESCO (1000/1)</t>
  </si>
  <si>
    <t>ALM-GRA-002</t>
  </si>
  <si>
    <t>GRAPAS ESTANDAR VELMER (5000/1)</t>
  </si>
  <si>
    <t>ALM-GULL-002</t>
  </si>
  <si>
    <t>GUILLOTINA</t>
  </si>
  <si>
    <t>B1500000007</t>
  </si>
  <si>
    <t>ALM-HOJA-001</t>
  </si>
  <si>
    <t>HOJAS DE FOAMI 8 1/2* 11</t>
  </si>
  <si>
    <t>ALM-LAB-003</t>
  </si>
  <si>
    <t>LABELS PARA CD</t>
  </si>
  <si>
    <t>PAQUETE</t>
  </si>
  <si>
    <t>ALM-LAB-004</t>
  </si>
  <si>
    <t>LABELS PARA FOLDER</t>
  </si>
  <si>
    <t>ALM-LAP-001</t>
  </si>
  <si>
    <t>LAPICERO AZUL</t>
  </si>
  <si>
    <t>ALM-LAP-002</t>
  </si>
  <si>
    <t>LAPICERO NEGRO</t>
  </si>
  <si>
    <t>LAPICERO NEGRO CAJA 12/1</t>
  </si>
  <si>
    <t>ALM-LAP-003</t>
  </si>
  <si>
    <t>LAPICERO ROJO</t>
  </si>
  <si>
    <t>ALM-LAP-004</t>
  </si>
  <si>
    <t>LAPIZ DE CARBON</t>
  </si>
  <si>
    <t>ALM-LAP-0045</t>
  </si>
  <si>
    <t>LAPIZ DE CARBON POINTER CAJA 12/1</t>
  </si>
  <si>
    <t>ALM-LEY-001</t>
  </si>
  <si>
    <t>LEY 208-14 5.5 *8.5  32 PÁGINAS</t>
  </si>
  <si>
    <t>ALM-LIB-001</t>
  </si>
  <si>
    <t>LIBRETA ARTESCO AMARILLA (8.5*11)</t>
  </si>
  <si>
    <t>ALM-LIB-002</t>
  </si>
  <si>
    <t>LIBRETA LEGAL PAD AMARILLA (5*8)</t>
  </si>
  <si>
    <t>ALM-LIB-R-001</t>
  </si>
  <si>
    <t>LIBROS RECORD</t>
  </si>
  <si>
    <t>ALM-MAR-001</t>
  </si>
  <si>
    <t>MARCADOR DE PIZARRA AZUL</t>
  </si>
  <si>
    <t>ALM-MAR-002</t>
  </si>
  <si>
    <t>MARCADOR DE PIZARRA ROJO</t>
  </si>
  <si>
    <t>ALM-MAR-003</t>
  </si>
  <si>
    <t>MARCADOR DE PIZZARRA NEGRO</t>
  </si>
  <si>
    <t>ALM-MAR-004</t>
  </si>
  <si>
    <t>MARCADOR DE PIZZARRA VERDE</t>
  </si>
  <si>
    <t>MARCADOR PERMANENTE AZUL</t>
  </si>
  <si>
    <t>MARCADOR PERMANENTE NEGRO</t>
  </si>
  <si>
    <t>ALM-MAR-005</t>
  </si>
  <si>
    <t>MARCADOR PERMANENTE ROJO</t>
  </si>
  <si>
    <t>MARCADOR SHARPIE (MIXTOS)</t>
  </si>
  <si>
    <t>MARCADOR SHARPIE AZUL</t>
  </si>
  <si>
    <t>MARCADOR SHARPIE PUNTA FINA</t>
  </si>
  <si>
    <t>ALM-MEM-001</t>
  </si>
  <si>
    <t>MEMORIA USB KINGSTONG (64GB)</t>
  </si>
  <si>
    <t>ALM-PAP-001</t>
  </si>
  <si>
    <t>PAPEL  DE HILO</t>
  </si>
  <si>
    <t>RESMA</t>
  </si>
  <si>
    <t>15/12/2020</t>
  </si>
  <si>
    <t>ALM-PAB-003</t>
  </si>
  <si>
    <t>PAPEL BOND 8 1/2 X 11 CAJA10/1</t>
  </si>
  <si>
    <t>ALM-PEN-001</t>
  </si>
  <si>
    <t xml:space="preserve">PENDAFLEX 8 1/2X11 </t>
  </si>
  <si>
    <t>CAJA 25/1</t>
  </si>
  <si>
    <t>ALM-PER-001</t>
  </si>
  <si>
    <t>PERFORADORA DE 2 HOYOS</t>
  </si>
  <si>
    <t>ALM-PILA-002</t>
  </si>
  <si>
    <t>PILAS DURACEL AA</t>
  </si>
  <si>
    <t>ALM-PILA-001</t>
  </si>
  <si>
    <t>PILAS DURACEL AAA</t>
  </si>
  <si>
    <t>ALM-POT-C-001</t>
  </si>
  <si>
    <t>PORTA CLIPS</t>
  </si>
  <si>
    <t>ALM-POT/L-001</t>
  </si>
  <si>
    <t>PORTA LÁPIZ METAL CUADRADO</t>
  </si>
  <si>
    <t>PORTA LÁPIZ METAL REDONDO</t>
  </si>
  <si>
    <t>ALM-POT/R-001</t>
  </si>
  <si>
    <t>PORTA REVISTA</t>
  </si>
  <si>
    <t>ALM-POTTP-001</t>
  </si>
  <si>
    <t>PORTA TAPE</t>
  </si>
  <si>
    <t>ALM-POTENC-001</t>
  </si>
  <si>
    <t>PORTADAS DE ENCUADERNAR</t>
  </si>
  <si>
    <t>ALM-POS-002</t>
  </si>
  <si>
    <t>POST-IT  (3*3) (7/1)</t>
  </si>
  <si>
    <t>ALM-POS-001</t>
  </si>
  <si>
    <t xml:space="preserve">POST-IT 2/8 * 17 BANDERITAS </t>
  </si>
  <si>
    <t>ALM-POS-004</t>
  </si>
  <si>
    <t>POST-IT DE FIRMA STICK IN (125/1)</t>
  </si>
  <si>
    <t>ALM-POS-003</t>
  </si>
  <si>
    <t>POST-IT DE FIRMA STICK IN (5/1)</t>
  </si>
  <si>
    <t>POST-IT DE FIRMA STICK IN (50/1)</t>
  </si>
  <si>
    <t>POST-IT NEON 2/*2 MEMO TIP  (8/1)</t>
  </si>
  <si>
    <t>POST-IT NEON 2/*2 MEMO TIP (8/1)</t>
  </si>
  <si>
    <t>PROTECTORES DE HOJA (100/1)</t>
  </si>
  <si>
    <t>ALM-PRO-001</t>
  </si>
  <si>
    <t>ALM-PUN-001</t>
  </si>
  <si>
    <t>PUNTERO LASER (KLIPXTREME, PRESENTADOR WIRELES)</t>
  </si>
  <si>
    <t>PUNTERO LASER / WIRELESS</t>
  </si>
  <si>
    <t>ALM-REG-001</t>
  </si>
  <si>
    <t>REGLA ESCALA POINTER</t>
  </si>
  <si>
    <t>REGLA PLASTICA  (1M)</t>
  </si>
  <si>
    <t>ALM-REG-002</t>
  </si>
  <si>
    <t>REGLA PLASTICA  (30CM)</t>
  </si>
  <si>
    <t>ALM-RES-001</t>
  </si>
  <si>
    <t>RESALTADOR AMARILLO</t>
  </si>
  <si>
    <t>RESALTADOR AMARILLO PUNTA ANCHA PELIKAN CAJA 10/1</t>
  </si>
  <si>
    <t>ALM-RES-002</t>
  </si>
  <si>
    <t>RESALTADOR AMARILLO PUNTA FINA PELIKAN CAJA 10/1</t>
  </si>
  <si>
    <t>ALM-REG-003</t>
  </si>
  <si>
    <t>RESALTADOR AZUL</t>
  </si>
  <si>
    <t>ALM-RES-003</t>
  </si>
  <si>
    <t>RESALTADOR AZUL  PUNTA FINA PELIKAN CAJA 10/1</t>
  </si>
  <si>
    <t>ALM-RES-004</t>
  </si>
  <si>
    <t>RESALTADOR NARANJA PUNTA FINA PELIKAN CAJA 10/1</t>
  </si>
  <si>
    <t>ALM-RES-005</t>
  </si>
  <si>
    <t>RESALTADOR ROSADA PUNTA FINA PELIKAN CAJA 10/1</t>
  </si>
  <si>
    <t>RESALTADOR VERDE</t>
  </si>
  <si>
    <t>ALM-RES-006</t>
  </si>
  <si>
    <t>RESALTADOR VERDE PUNTA FINA PELIKAN CAJA 10/2</t>
  </si>
  <si>
    <t>ALM-SAP-001</t>
  </si>
  <si>
    <t>SACAPUNTAS</t>
  </si>
  <si>
    <t>SACAPUNTAS ELECTRICOS</t>
  </si>
  <si>
    <t>ALM-SEP-001</t>
  </si>
  <si>
    <t xml:space="preserve">SEPARADORES DE CARPETA </t>
  </si>
  <si>
    <t>PAQUETE 5/1</t>
  </si>
  <si>
    <t>SEPARADORES DE CARPETA (5/1)</t>
  </si>
  <si>
    <t>PAQUETES</t>
  </si>
  <si>
    <t xml:space="preserve">SEPARADORES PLASTICOS </t>
  </si>
  <si>
    <t>PAQUETE5/1</t>
  </si>
  <si>
    <t>ALM-SOB-001</t>
  </si>
  <si>
    <t>SOBRE MANILLA 10 X 15</t>
  </si>
  <si>
    <t>SOBRE MANILLA 10*13 CAJA 500/1</t>
  </si>
  <si>
    <t>ALM-SOB-003</t>
  </si>
  <si>
    <t>SOBRE MANILLA 10X 13</t>
  </si>
  <si>
    <t>ALM-SOB-002</t>
  </si>
  <si>
    <t>SOBRE MANILLA 6.5*9.5 CAJA 500/1</t>
  </si>
  <si>
    <t>SOBRE MANILLA 6X9</t>
  </si>
  <si>
    <t>SOBRE MANILLA 9*12 CAJA 500/1</t>
  </si>
  <si>
    <t>ALM-TAB-002</t>
  </si>
  <si>
    <t>TABLILLA PARA HOJA 8 1/2 X11</t>
  </si>
  <si>
    <t>ALM-TJE-01</t>
  </si>
  <si>
    <t>TARJETERO DE ESCRITORIO</t>
  </si>
  <si>
    <t>ALM-TTL-002</t>
  </si>
  <si>
    <t>TARJETEROS TIPO LIBRO</t>
  </si>
  <si>
    <t>ALM-TIJ-001</t>
  </si>
  <si>
    <t>TIJERA</t>
  </si>
  <si>
    <t>ALM-TIN-001</t>
  </si>
  <si>
    <t>TINTA PARA SELLOS</t>
  </si>
  <si>
    <t>ALM-TENS-001</t>
  </si>
  <si>
    <t>TINTA PARA SUMADORA</t>
  </si>
  <si>
    <t>ALM-TON-002</t>
  </si>
  <si>
    <t>TONER CF401A  CYAN</t>
  </si>
  <si>
    <t>ALM-TON-003</t>
  </si>
  <si>
    <t>TONER CF402A YELLOW</t>
  </si>
  <si>
    <t>TONER CF410  A NEGRO</t>
  </si>
  <si>
    <t>ALM-TONC-001</t>
  </si>
  <si>
    <t>TONER CF500 A NEGRO</t>
  </si>
  <si>
    <t>B1500000005</t>
  </si>
  <si>
    <t>ALM-TONC-002</t>
  </si>
  <si>
    <t>TONER CF501 A CYAN</t>
  </si>
  <si>
    <t>ALM-TONC-003</t>
  </si>
  <si>
    <t>TONER CF502A YELLOW</t>
  </si>
  <si>
    <t>ALM-TONC-004</t>
  </si>
  <si>
    <t>TONER CF503A MAGENTA</t>
  </si>
  <si>
    <t>ALM-THP-001</t>
  </si>
  <si>
    <t>TONER HP CE310A</t>
  </si>
  <si>
    <t>ALM-THP-002</t>
  </si>
  <si>
    <t>TONER HP CE311A CYAN</t>
  </si>
  <si>
    <t>ALM-THP-003</t>
  </si>
  <si>
    <t>TONER HP CE312A YELLOW</t>
  </si>
  <si>
    <t>ALM-THP-004</t>
  </si>
  <si>
    <t>TONER HP CE313A MAGENTA</t>
  </si>
  <si>
    <t>ALM-UNH-001</t>
  </si>
  <si>
    <t>UHU LIQUIDO</t>
  </si>
  <si>
    <t xml:space="preserve">COCINA </t>
  </si>
  <si>
    <t>ALM-AGU-001</t>
  </si>
  <si>
    <t>AGUA BOTELLONES (RECARGAS)</t>
  </si>
  <si>
    <t>21/12/202</t>
  </si>
  <si>
    <t>ALM-BANDEJAS-001</t>
  </si>
  <si>
    <t>BANDEJA DE METAL 14*9</t>
  </si>
  <si>
    <t xml:space="preserve">UNIDAD </t>
  </si>
  <si>
    <t>B1500000278</t>
  </si>
  <si>
    <t>ALM-BANDEJAS-003</t>
  </si>
  <si>
    <t>BANDEJA DE METAL 16*13</t>
  </si>
  <si>
    <t>ALM-BANDEJAS-002</t>
  </si>
  <si>
    <t>BANDEJA DE METAL 16*9</t>
  </si>
  <si>
    <t>BANDEJA 14*9 ALUMINIO INOXIDABLE</t>
  </si>
  <si>
    <t>B1500000235</t>
  </si>
  <si>
    <t>BANDEJA 16*9 ALUMINIO INOXIDABLE</t>
  </si>
  <si>
    <t>ALM-BAN-003</t>
  </si>
  <si>
    <t>BANDEJA 18*13 ALUMINIO INOXIDABLE</t>
  </si>
  <si>
    <t>ALM-CHALECO-001</t>
  </si>
  <si>
    <t>CHALECO REFLECTOR BOLSILLO NARANJA AMARILLO</t>
  </si>
  <si>
    <t>B1500000158</t>
  </si>
  <si>
    <t>ALM-CUCHARAS-001</t>
  </si>
  <si>
    <t>CUCHARAS DE METAL</t>
  </si>
  <si>
    <t>ALM-CUCHILLO-001</t>
  </si>
  <si>
    <t>CUCHILLO DE METAL</t>
  </si>
  <si>
    <t>ALM-GCF-002</t>
  </si>
  <si>
    <t>GRECA 1 TAZA</t>
  </si>
  <si>
    <t>ALM-GCF-001</t>
  </si>
  <si>
    <t>GRECA 24 TAZA</t>
  </si>
  <si>
    <t>ALM-HEL-001</t>
  </si>
  <si>
    <t>HIELERA</t>
  </si>
  <si>
    <t>ALM-HOR-002</t>
  </si>
  <si>
    <t>HORNILLA INDUSTRIAL</t>
  </si>
  <si>
    <t>ALM-INDIVIDUALES -001</t>
  </si>
  <si>
    <t>INDIVIDUALES PLÁSTICOS</t>
  </si>
  <si>
    <t>31/12/219</t>
  </si>
  <si>
    <t>ALM-TAZA-002</t>
  </si>
  <si>
    <t>TAZA CAFÉ 130CL</t>
  </si>
  <si>
    <t>ALM-TAZA-001</t>
  </si>
  <si>
    <t>TAZA DE CAFÉ PORCELANA</t>
  </si>
  <si>
    <t>ALM-TENEDOR-001</t>
  </si>
  <si>
    <t>TENEDOR DE METAL</t>
  </si>
  <si>
    <t>ALM-TEN-001</t>
  </si>
  <si>
    <t xml:space="preserve">TENEDORES PLASTICOS </t>
  </si>
  <si>
    <t>ALM-VASO-001</t>
  </si>
  <si>
    <t>VASO NO. 10 DESECHABLES</t>
  </si>
  <si>
    <t>ALM-ZAF-001</t>
  </si>
  <si>
    <t>ZAFACÓN CON TAPA</t>
  </si>
  <si>
    <t>MATERIALES DE LIMPIEZA</t>
  </si>
  <si>
    <t>ALM-AMB-001</t>
  </si>
  <si>
    <t xml:space="preserve">AMBIENTADOR AUTOMATICO </t>
  </si>
  <si>
    <t>ALM-AMB-002</t>
  </si>
  <si>
    <t>AMBIENTADOR MANUAL</t>
  </si>
  <si>
    <t xml:space="preserve">ALM-SPRAY-001 </t>
  </si>
  <si>
    <t>DESINFECTANTE EN SPRAY</t>
  </si>
  <si>
    <t>ALM-FUNDA-001</t>
  </si>
  <si>
    <t>FUNDAS 13 GL/L FARDO 100/1 CALIBRE 180</t>
  </si>
  <si>
    <t>FARDO</t>
  </si>
  <si>
    <t>ALM-FUNDA-002</t>
  </si>
  <si>
    <t>FUNDAS 5 GL/L FARDO 100/1 CALIBRE 181</t>
  </si>
  <si>
    <t>ALM-FUNDA-003</t>
  </si>
  <si>
    <t>FUNDAS 55 GL/L FARDO 100/1 CALIBRE 182</t>
  </si>
  <si>
    <t>ALM-GEL-002</t>
  </si>
  <si>
    <t>GEL ANTIBACTERIAL</t>
  </si>
  <si>
    <t>B1500000053</t>
  </si>
  <si>
    <t>ALM-GUA-001</t>
  </si>
  <si>
    <t>GUANTES DESECHABLES LATEX (S,M,L)</t>
  </si>
  <si>
    <t>B1500000010</t>
  </si>
  <si>
    <t>ALM-JAB-003</t>
  </si>
  <si>
    <t>JABON DE CUABA</t>
  </si>
  <si>
    <t>GL</t>
  </si>
  <si>
    <t>B1500000291</t>
  </si>
  <si>
    <t>ALM-JAB-004</t>
  </si>
  <si>
    <t>JABÓN LIQUIDO DE MANOS</t>
  </si>
  <si>
    <t>ALM-KIT-003</t>
  </si>
  <si>
    <t>KIT ALFOMBRA DESINFECTANTE</t>
  </si>
  <si>
    <t>B1500000214</t>
  </si>
  <si>
    <t>ALM-LAV-001</t>
  </si>
  <si>
    <t>LAVAPLATOS LIQUIDO</t>
  </si>
  <si>
    <t>GALON</t>
  </si>
  <si>
    <t>ALM-LIMP-001</t>
  </si>
  <si>
    <t xml:space="preserve">LIMPIA CRISTALES </t>
  </si>
  <si>
    <t>ALM-PAH-001</t>
  </si>
  <si>
    <t>PAPEL HIGIENICO 30/1</t>
  </si>
  <si>
    <t>ALM-PAT-001</t>
  </si>
  <si>
    <t>PAPEL TOALLA FAMILIA 6/1</t>
  </si>
  <si>
    <t>ALM-SET-003</t>
  </si>
  <si>
    <t>SET HERRAMIENTAS VARIAS</t>
  </si>
  <si>
    <t>JUEGO</t>
  </si>
  <si>
    <t xml:space="preserve">ALM-SUA-001 </t>
  </si>
  <si>
    <t>SUAPER NO.28</t>
  </si>
  <si>
    <t>ALM-SUA-002</t>
  </si>
  <si>
    <t>SUAPER NO.32</t>
  </si>
  <si>
    <t>Mantenimiento</t>
  </si>
  <si>
    <t>ALM-AGBT-001</t>
  </si>
  <si>
    <t>AGUA DE BATERIAS DESMINARILIZADA</t>
  </si>
  <si>
    <t>ALM-CERRADURA-003</t>
  </si>
  <si>
    <t>CERRADURA DE PUERTA</t>
  </si>
  <si>
    <t>ALM-CERRADURA-001</t>
  </si>
  <si>
    <t>CERRADURAS C-LLAVE</t>
  </si>
  <si>
    <t>ALM-CERRADURA-002</t>
  </si>
  <si>
    <t>CERRADURAS S-LLAVE</t>
  </si>
  <si>
    <t>ALM-TUBO-001</t>
  </si>
  <si>
    <t>TUBO FLUORESCENTES LUZ BLANCA</t>
  </si>
  <si>
    <t>B1500000238</t>
  </si>
  <si>
    <t>ALM-PEN-002</t>
  </si>
  <si>
    <t>PENETRANTE WD40</t>
  </si>
  <si>
    <t>ALM-ALC-001</t>
  </si>
  <si>
    <t>ALCOHOL ISOPROPILICO 100%</t>
  </si>
  <si>
    <t>ALM-CBT-001</t>
  </si>
  <si>
    <t xml:space="preserve">CABLE TIES ( TAYRA ) </t>
  </si>
  <si>
    <t>PAQUETE 100/1</t>
  </si>
  <si>
    <t>ALM-DES- 001</t>
  </si>
  <si>
    <t>DESINFECTANTE FABULOSO</t>
  </si>
  <si>
    <t>ALM-DES- 002</t>
  </si>
  <si>
    <t>DESINFECTANTE PARA AFOMBRAS</t>
  </si>
  <si>
    <t>ALM-DIS-001</t>
  </si>
  <si>
    <t>DISPENSADOR DE GEL ANTIBACTERIAL AUTOMATICO</t>
  </si>
  <si>
    <t>ALM-DIS-002</t>
  </si>
  <si>
    <t>DISPENSADOR DE JABÓN LIQUIDO AUTOMATICO</t>
  </si>
  <si>
    <t>ALM-ESC-001</t>
  </si>
  <si>
    <t>ESCOBA</t>
  </si>
  <si>
    <t xml:space="preserve">Total de Inventario                    </t>
  </si>
  <si>
    <t xml:space="preserve"> Elaborado  Por:</t>
  </si>
  <si>
    <t>Revisado por</t>
  </si>
  <si>
    <t>Brenda Yocasta Matos</t>
  </si>
  <si>
    <t>Maria Lajara</t>
  </si>
  <si>
    <t>Enc. Contabilidad</t>
  </si>
  <si>
    <t>Enc. Administrativa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</si>
</sst>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sz val="22"/>
      <color theme="1"/>
      <name val="Calibri"/>
      <family val="2"/>
      <scheme val="minor"/>
    </font>
    <font>
      <sz val="18"/>
      <color theme="1"/>
      <name val="Times New Roman"/>
      <family val="1"/>
    </font>
    <font>
      <sz val="10"/>
      <name val="Arial"/>
      <family val="2"/>
    </font>
    <font>
      <b/>
      <sz val="24"/>
      <name val="Calibri"/>
      <family val="2"/>
      <scheme val="minor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22"/>
      <color theme="1"/>
      <name val="Times New Roman"/>
      <family val="1"/>
    </font>
    <font>
      <sz val="2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6" fillId="0" borderId="0"/>
  </cellStyleXfs>
  <cellXfs count="51">
    <xf numFmtId="0" fontId="0" fillId="0" borderId="0" xfId="0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Fill="1" applyBorder="1"/>
    <xf numFmtId="0" fontId="0" fillId="0" borderId="0" xfId="0" applyFont="1" applyBorder="1"/>
    <xf numFmtId="164" fontId="1" fillId="0" borderId="0" xfId="1" applyNumberFormat="1" applyFont="1" applyBorder="1" applyAlignment="1">
      <alignment horizontal="center"/>
    </xf>
    <xf numFmtId="0" fontId="0" fillId="3" borderId="0" xfId="0" applyFont="1" applyFill="1" applyBorder="1"/>
    <xf numFmtId="0" fontId="5" fillId="4" borderId="0" xfId="0" applyFont="1" applyFill="1" applyBorder="1" applyAlignment="1">
      <alignment horizontal="center"/>
    </xf>
    <xf numFmtId="0" fontId="3" fillId="4" borderId="0" xfId="0" applyFont="1" applyFill="1" applyBorder="1"/>
    <xf numFmtId="0" fontId="5" fillId="4" borderId="0" xfId="4" applyFont="1" applyFill="1" applyBorder="1" applyAlignment="1">
      <alignment horizontal="center"/>
    </xf>
    <xf numFmtId="0" fontId="7" fillId="5" borderId="0" xfId="3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11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43" fontId="11" fillId="0" borderId="0" xfId="1" applyFont="1" applyFill="1" applyBorder="1"/>
    <xf numFmtId="0" fontId="3" fillId="0" borderId="0" xfId="0" applyFont="1" applyFill="1" applyBorder="1"/>
    <xf numFmtId="164" fontId="3" fillId="0" borderId="0" xfId="1" applyNumberFormat="1" applyFont="1" applyFill="1" applyBorder="1" applyAlignment="1">
      <alignment horizontal="center"/>
    </xf>
    <xf numFmtId="43" fontId="3" fillId="0" borderId="0" xfId="1" applyFont="1" applyFill="1" applyBorder="1"/>
    <xf numFmtId="43" fontId="3" fillId="3" borderId="0" xfId="1" applyFont="1" applyFill="1" applyBorder="1"/>
    <xf numFmtId="44" fontId="1" fillId="0" borderId="0" xfId="2" applyFont="1" applyFill="1" applyBorder="1"/>
    <xf numFmtId="0" fontId="0" fillId="0" borderId="0" xfId="0" applyFont="1" applyFill="1" applyBorder="1"/>
    <xf numFmtId="164" fontId="1" fillId="0" borderId="0" xfId="1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wrapText="1"/>
    </xf>
    <xf numFmtId="43" fontId="12" fillId="3" borderId="0" xfId="1" applyFont="1" applyFill="1" applyBorder="1"/>
    <xf numFmtId="43" fontId="1" fillId="0" borderId="0" xfId="1" applyFont="1" applyFill="1" applyBorder="1"/>
    <xf numFmtId="43" fontId="12" fillId="0" borderId="0" xfId="1" applyFont="1" applyFill="1" applyBorder="1"/>
    <xf numFmtId="0" fontId="11" fillId="0" borderId="0" xfId="0" applyFont="1" applyFill="1" applyBorder="1" applyAlignment="1"/>
    <xf numFmtId="0" fontId="3" fillId="4" borderId="0" xfId="0" applyFont="1" applyFill="1" applyBorder="1" applyAlignment="1">
      <alignment horizontal="center"/>
    </xf>
    <xf numFmtId="0" fontId="11" fillId="4" borderId="0" xfId="0" applyFont="1" applyFill="1" applyBorder="1"/>
    <xf numFmtId="43" fontId="11" fillId="0" borderId="0" xfId="0" applyNumberFormat="1" applyFont="1" applyFill="1" applyBorder="1"/>
    <xf numFmtId="43" fontId="9" fillId="0" borderId="1" xfId="0" applyNumberFormat="1" applyFont="1" applyFill="1" applyBorder="1"/>
    <xf numFmtId="164" fontId="3" fillId="4" borderId="0" xfId="1" applyNumberFormat="1" applyFont="1" applyFill="1" applyBorder="1" applyAlignment="1">
      <alignment horizontal="center"/>
    </xf>
    <xf numFmtId="43" fontId="3" fillId="4" borderId="0" xfId="0" applyNumberFormat="1" applyFont="1" applyFill="1" applyBorder="1"/>
    <xf numFmtId="0" fontId="3" fillId="3" borderId="0" xfId="0" applyFont="1" applyFill="1" applyBorder="1"/>
    <xf numFmtId="43" fontId="3" fillId="4" borderId="0" xfId="1" applyFont="1" applyFill="1" applyBorder="1"/>
    <xf numFmtId="43" fontId="3" fillId="4" borderId="0" xfId="1" applyNumberFormat="1" applyFont="1" applyFill="1" applyBorder="1"/>
    <xf numFmtId="44" fontId="1" fillId="4" borderId="0" xfId="2" applyFont="1" applyFill="1" applyBorder="1"/>
    <xf numFmtId="43" fontId="1" fillId="4" borderId="0" xfId="1" applyFont="1" applyFill="1" applyBorder="1"/>
    <xf numFmtId="0" fontId="0" fillId="4" borderId="0" xfId="0" applyFont="1" applyFill="1" applyBorder="1"/>
    <xf numFmtId="0" fontId="2" fillId="2" borderId="0" xfId="3" applyBorder="1" applyAlignment="1">
      <alignment horizontal="center"/>
    </xf>
    <xf numFmtId="0" fontId="13" fillId="0" borderId="0" xfId="0" applyFont="1" applyFill="1" applyBorder="1" applyAlignment="1">
      <alignment horizontal="left" vertical="center"/>
    </xf>
    <xf numFmtId="43" fontId="0" fillId="0" borderId="0" xfId="0" applyNumberFormat="1" applyFont="1" applyFill="1" applyBorder="1"/>
    <xf numFmtId="0" fontId="7" fillId="5" borderId="0" xfId="3" applyFont="1" applyFill="1" applyBorder="1" applyAlignment="1">
      <alignment horizontal="right"/>
    </xf>
    <xf numFmtId="0" fontId="7" fillId="5" borderId="2" xfId="3" applyFont="1" applyFill="1" applyBorder="1" applyAlignment="1">
      <alignment horizontal="right"/>
    </xf>
    <xf numFmtId="0" fontId="14" fillId="0" borderId="0" xfId="4" applyFont="1" applyFill="1" applyBorder="1" applyAlignment="1">
      <alignment horizontal="center"/>
    </xf>
    <xf numFmtId="0" fontId="15" fillId="0" borderId="0" xfId="4" applyFont="1" applyFill="1" applyBorder="1" applyAlignment="1">
      <alignment horizontal="center"/>
    </xf>
  </cellXfs>
  <cellStyles count="5">
    <cellStyle name="Énfasis5" xfId="3" builtinId="45"/>
    <cellStyle name="Millares" xfId="1" builtinId="3"/>
    <cellStyle name="Moneda" xfId="2" builtinId="4"/>
    <cellStyle name="Normal" xfId="0" builtinId="0"/>
    <cellStyle name="Normal 3" xfId="4" xr:uid="{C8565D05-4B35-4F05-A086-EA75278465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2DE0B.4AE0F8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1718945</xdr:colOff>
      <xdr:row>0</xdr:row>
      <xdr:rowOff>0</xdr:rowOff>
    </xdr:from>
    <xdr:to>
      <xdr:col>5</xdr:col>
      <xdr:colOff>2956034</xdr:colOff>
      <xdr:row>1</xdr:row>
      <xdr:rowOff>322824</xdr:rowOff>
    </xdr:to>
    <xdr:pic>
      <xdr:nvPicPr>
        <xdr:cNvPr id="2" name="Imagen 1" descr="LOGO IGN">
          <a:extLst>
            <a:ext uri="{FF2B5EF4-FFF2-40B4-BE49-F238E27FC236}">
              <a16:creationId xmlns:a16="http://schemas.microsoft.com/office/drawing/2014/main" id="{D507D15E-1A3C-49E8-85A5-31E205083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6695" y="0"/>
          <a:ext cx="1237089" cy="6847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EB976-B057-4A20-9A11-B10DBEEAF969}">
  <sheetPr>
    <pageSetUpPr fitToPage="1"/>
  </sheetPr>
  <dimension ref="B1:T252"/>
  <sheetViews>
    <sheetView showGridLines="0" tabSelected="1" topLeftCell="C198" zoomScale="58" zoomScaleNormal="58" workbookViewId="0">
      <selection activeCell="B1" sqref="B1:Q253"/>
    </sheetView>
  </sheetViews>
  <sheetFormatPr baseColWidth="10" defaultColWidth="11.42578125" defaultRowHeight="15" x14ac:dyDescent="0.25"/>
  <cols>
    <col min="1" max="1" width="7.28515625" style="4" customWidth="1"/>
    <col min="2" max="2" width="11.85546875" style="1" customWidth="1"/>
    <col min="3" max="3" width="22.7109375" style="4" bestFit="1" customWidth="1"/>
    <col min="4" max="4" width="30.28515625" style="4" hidden="1" customWidth="1"/>
    <col min="5" max="5" width="31" style="4" customWidth="1"/>
    <col min="6" max="6" width="80.5703125" style="4" customWidth="1"/>
    <col min="7" max="7" width="27.7109375" style="25" customWidth="1"/>
    <col min="8" max="8" width="31.28515625" style="25" customWidth="1"/>
    <col min="9" max="9" width="18.28515625" style="4" hidden="1" customWidth="1"/>
    <col min="10" max="10" width="14.7109375" style="5" hidden="1" customWidth="1"/>
    <col min="11" max="11" width="17.85546875" style="4" hidden="1" customWidth="1"/>
    <col min="12" max="12" width="24.28515625" style="4" hidden="1" customWidth="1"/>
    <col min="13" max="13" width="13" style="4" hidden="1" customWidth="1"/>
    <col min="14" max="14" width="22.5703125" style="6" hidden="1" customWidth="1"/>
    <col min="15" max="15" width="11.85546875" style="6" hidden="1" customWidth="1"/>
    <col min="16" max="16" width="26.42578125" style="4" hidden="1" customWidth="1"/>
    <col min="17" max="17" width="23.28515625" style="4" hidden="1" customWidth="1"/>
    <col min="18" max="18" width="21.85546875" style="4" hidden="1" customWidth="1"/>
    <col min="19" max="19" width="16.7109375" style="4" hidden="1" customWidth="1"/>
    <col min="20" max="20" width="11.42578125" style="4" customWidth="1"/>
    <col min="21" max="16384" width="11.42578125" style="4"/>
  </cols>
  <sheetData>
    <row r="1" spans="2:19" ht="28.5" x14ac:dyDescent="0.45">
      <c r="C1" s="2"/>
      <c r="D1" s="2"/>
      <c r="E1" s="2"/>
      <c r="F1" s="2"/>
      <c r="G1" s="3"/>
      <c r="H1" s="3"/>
    </row>
    <row r="2" spans="2:19" ht="28.5" x14ac:dyDescent="0.45">
      <c r="C2" s="2"/>
      <c r="D2" s="2"/>
      <c r="E2" s="2"/>
      <c r="F2" s="2"/>
      <c r="G2" s="3"/>
      <c r="H2" s="3"/>
    </row>
    <row r="3" spans="2:19" ht="23.25" x14ac:dyDescent="0.35">
      <c r="B3" s="7" t="s">
        <v>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</row>
    <row r="4" spans="2:19" ht="23.25" x14ac:dyDescent="0.35">
      <c r="B4" s="9" t="s">
        <v>1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8"/>
    </row>
    <row r="5" spans="2:19" ht="23.25" x14ac:dyDescent="0.35">
      <c r="B5" s="9" t="s">
        <v>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8"/>
    </row>
    <row r="6" spans="2:19" ht="23.25" x14ac:dyDescent="0.35">
      <c r="B6" s="7" t="s">
        <v>3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</row>
    <row r="7" spans="2:19" ht="31.5" x14ac:dyDescent="0.5">
      <c r="B7" s="10" t="s">
        <v>4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8"/>
    </row>
    <row r="8" spans="2:19" s="15" customFormat="1" ht="20.25" x14ac:dyDescent="0.3">
      <c r="B8" s="11" t="s">
        <v>5</v>
      </c>
      <c r="C8" s="12" t="s">
        <v>6</v>
      </c>
      <c r="D8" s="12" t="s">
        <v>7</v>
      </c>
      <c r="E8" s="12" t="s">
        <v>8</v>
      </c>
      <c r="F8" s="12" t="s">
        <v>9</v>
      </c>
      <c r="G8" s="12" t="s">
        <v>10</v>
      </c>
      <c r="H8" s="12" t="s">
        <v>11</v>
      </c>
      <c r="I8" s="13" t="s">
        <v>12</v>
      </c>
      <c r="J8" s="13" t="s">
        <v>13</v>
      </c>
      <c r="K8" s="13" t="s">
        <v>14</v>
      </c>
      <c r="L8" s="13" t="s">
        <v>15</v>
      </c>
      <c r="M8" s="13" t="s">
        <v>16</v>
      </c>
      <c r="N8" s="14" t="s">
        <v>17</v>
      </c>
      <c r="O8" s="14" t="s">
        <v>18</v>
      </c>
      <c r="P8" s="13" t="s">
        <v>10</v>
      </c>
      <c r="Q8" s="13" t="s">
        <v>11</v>
      </c>
      <c r="R8" s="13" t="s">
        <v>19</v>
      </c>
    </row>
    <row r="9" spans="2:19" s="25" customFormat="1" ht="20.25" x14ac:dyDescent="0.3">
      <c r="B9" s="16">
        <v>1</v>
      </c>
      <c r="C9" s="17">
        <v>43252</v>
      </c>
      <c r="D9" s="17">
        <v>43253</v>
      </c>
      <c r="E9" s="18" t="s">
        <v>20</v>
      </c>
      <c r="F9" s="18" t="s">
        <v>21</v>
      </c>
      <c r="G9" s="19">
        <f>$J9-$O9</f>
        <v>3</v>
      </c>
      <c r="H9" s="19">
        <f t="shared" ref="H9:H58" si="0">$P9*$M9</f>
        <v>3834.9999999999882</v>
      </c>
      <c r="I9" s="20" t="s">
        <v>22</v>
      </c>
      <c r="J9" s="21">
        <v>9</v>
      </c>
      <c r="K9" s="22">
        <v>1083.3333333333301</v>
      </c>
      <c r="L9" s="22">
        <f t="shared" ref="L9:L22" si="1">+K9*18%</f>
        <v>194.9999999999994</v>
      </c>
      <c r="M9" s="22">
        <f t="shared" ref="M9:M22" si="2">+K9+L9</f>
        <v>1278.3333333333294</v>
      </c>
      <c r="N9" s="23">
        <f t="shared" ref="N9:N61" si="3">$J9*$M9</f>
        <v>11504.999999999964</v>
      </c>
      <c r="O9" s="23">
        <f>1+1+1+1+1+1</f>
        <v>6</v>
      </c>
      <c r="P9" s="22">
        <f>$J9-$O9</f>
        <v>3</v>
      </c>
      <c r="Q9" s="22">
        <f t="shared" ref="Q9:Q58" si="4">$P9*$M9</f>
        <v>3834.9999999999882</v>
      </c>
      <c r="R9" s="20"/>
      <c r="S9" s="24">
        <f>Q9/P9</f>
        <v>1278.3333333333294</v>
      </c>
    </row>
    <row r="10" spans="2:19" s="25" customFormat="1" ht="20.25" x14ac:dyDescent="0.3">
      <c r="B10" s="16">
        <f>+B9+1</f>
        <v>2</v>
      </c>
      <c r="C10" s="17">
        <v>43609</v>
      </c>
      <c r="D10" s="17">
        <v>43612</v>
      </c>
      <c r="E10" s="18" t="s">
        <v>23</v>
      </c>
      <c r="F10" s="18" t="s">
        <v>24</v>
      </c>
      <c r="G10" s="19">
        <f>$J10-$O10</f>
        <v>5</v>
      </c>
      <c r="H10" s="19">
        <f t="shared" si="0"/>
        <v>2655</v>
      </c>
      <c r="I10" s="20" t="s">
        <v>22</v>
      </c>
      <c r="J10" s="21">
        <v>5</v>
      </c>
      <c r="K10" s="22">
        <v>450</v>
      </c>
      <c r="L10" s="22">
        <f>+K10*18%</f>
        <v>81</v>
      </c>
      <c r="M10" s="22">
        <f>+K10+L10</f>
        <v>531</v>
      </c>
      <c r="N10" s="23">
        <f>$J10*$M10</f>
        <v>2655</v>
      </c>
      <c r="O10" s="23">
        <v>0</v>
      </c>
      <c r="P10" s="22">
        <f>$J10-$O10</f>
        <v>5</v>
      </c>
      <c r="Q10" s="22">
        <f>$P10*$M10</f>
        <v>2655</v>
      </c>
      <c r="R10" s="20" t="s">
        <v>25</v>
      </c>
      <c r="S10" s="24">
        <f>Q10/P10</f>
        <v>531</v>
      </c>
    </row>
    <row r="11" spans="2:19" s="25" customFormat="1" ht="20.25" x14ac:dyDescent="0.3">
      <c r="B11" s="16">
        <f>+B10+1</f>
        <v>3</v>
      </c>
      <c r="C11" s="17">
        <v>43252</v>
      </c>
      <c r="D11" s="17">
        <v>43254</v>
      </c>
      <c r="E11" s="18" t="s">
        <v>26</v>
      </c>
      <c r="F11" s="18" t="s">
        <v>27</v>
      </c>
      <c r="G11" s="19">
        <f>$J11-$O11</f>
        <v>4</v>
      </c>
      <c r="H11" s="19">
        <f t="shared" si="0"/>
        <v>2124</v>
      </c>
      <c r="I11" s="20" t="s">
        <v>22</v>
      </c>
      <c r="J11" s="21">
        <v>5</v>
      </c>
      <c r="K11" s="22">
        <v>450</v>
      </c>
      <c r="L11" s="22">
        <f>+K11*18%</f>
        <v>81</v>
      </c>
      <c r="M11" s="22">
        <f>+K11+L11</f>
        <v>531</v>
      </c>
      <c r="N11" s="23">
        <f>$J11*$M11</f>
        <v>2655</v>
      </c>
      <c r="O11" s="23">
        <v>1</v>
      </c>
      <c r="P11" s="22">
        <f>$J11-$O11</f>
        <v>4</v>
      </c>
      <c r="Q11" s="22">
        <f>$P11*$M11</f>
        <v>2124</v>
      </c>
      <c r="S11" s="24">
        <f>Q11/P11</f>
        <v>531</v>
      </c>
    </row>
    <row r="12" spans="2:19" s="25" customFormat="1" ht="20.25" x14ac:dyDescent="0.3">
      <c r="B12" s="16">
        <f>+B11+1</f>
        <v>4</v>
      </c>
      <c r="C12" s="17" t="s">
        <v>28</v>
      </c>
      <c r="D12" s="17" t="s">
        <v>29</v>
      </c>
      <c r="E12" s="18" t="s">
        <v>30</v>
      </c>
      <c r="F12" s="18" t="s">
        <v>31</v>
      </c>
      <c r="G12" s="19">
        <f t="shared" ref="G12:G43" si="5">$J12-$O12</f>
        <v>81</v>
      </c>
      <c r="H12" s="19">
        <f t="shared" si="0"/>
        <v>477.90000000000003</v>
      </c>
      <c r="I12" s="20" t="s">
        <v>22</v>
      </c>
      <c r="J12" s="26">
        <v>90</v>
      </c>
      <c r="K12" s="22">
        <v>5</v>
      </c>
      <c r="L12" s="22">
        <f t="shared" si="1"/>
        <v>0.89999999999999991</v>
      </c>
      <c r="M12" s="22">
        <f t="shared" si="2"/>
        <v>5.9</v>
      </c>
      <c r="N12" s="23">
        <f t="shared" si="3"/>
        <v>531</v>
      </c>
      <c r="O12" s="23">
        <f>2+1+1+1+1+1+2</f>
        <v>9</v>
      </c>
      <c r="P12" s="22">
        <f t="shared" ref="P12:P43" si="6">$J12-$O12</f>
        <v>81</v>
      </c>
      <c r="Q12" s="22">
        <f t="shared" si="4"/>
        <v>477.90000000000003</v>
      </c>
      <c r="R12" s="20" t="s">
        <v>32</v>
      </c>
    </row>
    <row r="13" spans="2:19" s="25" customFormat="1" ht="20.25" x14ac:dyDescent="0.3">
      <c r="B13" s="16">
        <f>B12+1</f>
        <v>5</v>
      </c>
      <c r="C13" s="17">
        <v>43657</v>
      </c>
      <c r="D13" s="17">
        <v>43677</v>
      </c>
      <c r="E13" s="18" t="s">
        <v>33</v>
      </c>
      <c r="F13" s="18" t="s">
        <v>34</v>
      </c>
      <c r="G13" s="19">
        <f t="shared" si="5"/>
        <v>196</v>
      </c>
      <c r="H13" s="19">
        <f t="shared" si="0"/>
        <v>1665.2160000000001</v>
      </c>
      <c r="I13" s="20" t="s">
        <v>22</v>
      </c>
      <c r="J13" s="21">
        <v>600</v>
      </c>
      <c r="K13" s="22">
        <v>7.2</v>
      </c>
      <c r="L13" s="22">
        <f t="shared" si="1"/>
        <v>1.296</v>
      </c>
      <c r="M13" s="22">
        <f t="shared" si="2"/>
        <v>8.4960000000000004</v>
      </c>
      <c r="N13" s="23">
        <f t="shared" si="3"/>
        <v>5097.6000000000004</v>
      </c>
      <c r="O13" s="23">
        <f>200+150+20+34</f>
        <v>404</v>
      </c>
      <c r="P13" s="22">
        <f t="shared" si="6"/>
        <v>196</v>
      </c>
      <c r="Q13" s="22">
        <f t="shared" si="4"/>
        <v>1665.2160000000001</v>
      </c>
      <c r="R13" s="20" t="s">
        <v>35</v>
      </c>
      <c r="S13" s="24">
        <f>Q13/P13</f>
        <v>8.4960000000000004</v>
      </c>
    </row>
    <row r="14" spans="2:19" s="25" customFormat="1" ht="21.75" customHeight="1" x14ac:dyDescent="0.3">
      <c r="B14" s="16">
        <f t="shared" ref="B14:B77" si="7">B13+1</f>
        <v>6</v>
      </c>
      <c r="C14" s="17">
        <v>43609</v>
      </c>
      <c r="D14" s="17">
        <v>43612</v>
      </c>
      <c r="E14" s="18" t="s">
        <v>36</v>
      </c>
      <c r="F14" s="27" t="s">
        <v>37</v>
      </c>
      <c r="G14" s="19">
        <f t="shared" si="5"/>
        <v>17</v>
      </c>
      <c r="H14" s="19">
        <f t="shared" si="0"/>
        <v>5015</v>
      </c>
      <c r="I14" s="20" t="s">
        <v>22</v>
      </c>
      <c r="J14" s="21">
        <v>20</v>
      </c>
      <c r="K14" s="22">
        <v>250</v>
      </c>
      <c r="L14" s="22">
        <f t="shared" si="1"/>
        <v>45</v>
      </c>
      <c r="M14" s="22">
        <f t="shared" si="2"/>
        <v>295</v>
      </c>
      <c r="N14" s="23">
        <f t="shared" si="3"/>
        <v>5900</v>
      </c>
      <c r="O14" s="23">
        <v>3</v>
      </c>
      <c r="P14" s="22">
        <f t="shared" si="6"/>
        <v>17</v>
      </c>
      <c r="Q14" s="22">
        <f t="shared" si="4"/>
        <v>5015</v>
      </c>
      <c r="R14" s="20" t="s">
        <v>25</v>
      </c>
      <c r="S14" s="24">
        <f>Q14/P14</f>
        <v>295</v>
      </c>
    </row>
    <row r="15" spans="2:19" s="25" customFormat="1" ht="20.25" x14ac:dyDescent="0.3">
      <c r="B15" s="16">
        <f t="shared" si="7"/>
        <v>7</v>
      </c>
      <c r="C15" s="17">
        <v>44162</v>
      </c>
      <c r="D15" s="17">
        <v>44187</v>
      </c>
      <c r="E15" s="18" t="s">
        <v>38</v>
      </c>
      <c r="F15" s="18" t="s">
        <v>39</v>
      </c>
      <c r="G15" s="19">
        <f t="shared" si="5"/>
        <v>58</v>
      </c>
      <c r="H15" s="19">
        <f t="shared" si="0"/>
        <v>2737.6000000000004</v>
      </c>
      <c r="I15" s="20" t="s">
        <v>22</v>
      </c>
      <c r="J15" s="21">
        <v>62</v>
      </c>
      <c r="K15" s="22">
        <v>40</v>
      </c>
      <c r="L15" s="22">
        <f t="shared" si="1"/>
        <v>7.1999999999999993</v>
      </c>
      <c r="M15" s="22">
        <f t="shared" si="2"/>
        <v>47.2</v>
      </c>
      <c r="N15" s="23">
        <f t="shared" si="3"/>
        <v>2926.4</v>
      </c>
      <c r="O15" s="23">
        <f>3+1</f>
        <v>4</v>
      </c>
      <c r="P15" s="22">
        <f t="shared" si="6"/>
        <v>58</v>
      </c>
      <c r="Q15" s="22">
        <f t="shared" si="4"/>
        <v>2737.6000000000004</v>
      </c>
      <c r="R15" s="22"/>
      <c r="S15" s="24">
        <f>Q15/P15</f>
        <v>47.2</v>
      </c>
    </row>
    <row r="16" spans="2:19" s="25" customFormat="1" ht="20.25" x14ac:dyDescent="0.3">
      <c r="B16" s="16">
        <f t="shared" si="7"/>
        <v>8</v>
      </c>
      <c r="C16" s="17">
        <v>43252</v>
      </c>
      <c r="D16" s="17">
        <v>43253</v>
      </c>
      <c r="E16" s="18" t="s">
        <v>40</v>
      </c>
      <c r="F16" s="18" t="s">
        <v>41</v>
      </c>
      <c r="G16" s="19">
        <f t="shared" si="5"/>
        <v>2</v>
      </c>
      <c r="H16" s="19">
        <f t="shared" si="0"/>
        <v>472</v>
      </c>
      <c r="I16" s="20" t="s">
        <v>22</v>
      </c>
      <c r="J16" s="21">
        <v>10</v>
      </c>
      <c r="K16" s="22">
        <v>200</v>
      </c>
      <c r="L16" s="22">
        <f t="shared" si="1"/>
        <v>36</v>
      </c>
      <c r="M16" s="22">
        <f t="shared" si="2"/>
        <v>236</v>
      </c>
      <c r="N16" s="23">
        <f t="shared" si="3"/>
        <v>2360</v>
      </c>
      <c r="O16" s="23">
        <f>1+1+1+4+1</f>
        <v>8</v>
      </c>
      <c r="P16" s="22">
        <f t="shared" si="6"/>
        <v>2</v>
      </c>
      <c r="Q16" s="22">
        <f t="shared" si="4"/>
        <v>472</v>
      </c>
      <c r="R16" s="20" t="s">
        <v>25</v>
      </c>
      <c r="S16" s="24">
        <f>Q16/P16</f>
        <v>236</v>
      </c>
    </row>
    <row r="17" spans="2:19" s="25" customFormat="1" ht="20.25" x14ac:dyDescent="0.3">
      <c r="B17" s="16">
        <f t="shared" si="7"/>
        <v>9</v>
      </c>
      <c r="C17" s="17">
        <v>43252</v>
      </c>
      <c r="D17" s="17">
        <v>43253</v>
      </c>
      <c r="E17" s="18" t="s">
        <v>40</v>
      </c>
      <c r="F17" s="18" t="s">
        <v>42</v>
      </c>
      <c r="G17" s="19">
        <f t="shared" si="5"/>
        <v>12</v>
      </c>
      <c r="H17" s="19">
        <f t="shared" si="0"/>
        <v>1062</v>
      </c>
      <c r="I17" s="20" t="s">
        <v>22</v>
      </c>
      <c r="J17" s="21">
        <v>12</v>
      </c>
      <c r="K17" s="22">
        <v>75</v>
      </c>
      <c r="L17" s="22">
        <f t="shared" si="1"/>
        <v>13.5</v>
      </c>
      <c r="M17" s="22">
        <f t="shared" si="2"/>
        <v>88.5</v>
      </c>
      <c r="N17" s="23">
        <f t="shared" si="3"/>
        <v>1062</v>
      </c>
      <c r="O17" s="23">
        <v>0</v>
      </c>
      <c r="P17" s="22">
        <f t="shared" si="6"/>
        <v>12</v>
      </c>
      <c r="Q17" s="22">
        <f t="shared" si="4"/>
        <v>1062</v>
      </c>
      <c r="R17" s="20" t="s">
        <v>32</v>
      </c>
      <c r="S17" s="24"/>
    </row>
    <row r="18" spans="2:19" s="25" customFormat="1" ht="20.25" x14ac:dyDescent="0.3">
      <c r="B18" s="16">
        <f t="shared" si="7"/>
        <v>10</v>
      </c>
      <c r="C18" s="17">
        <v>44162</v>
      </c>
      <c r="D18" s="17">
        <v>44187</v>
      </c>
      <c r="E18" s="18" t="s">
        <v>43</v>
      </c>
      <c r="F18" s="18" t="s">
        <v>44</v>
      </c>
      <c r="G18" s="19">
        <f t="shared" si="5"/>
        <v>29</v>
      </c>
      <c r="H18" s="19">
        <f t="shared" si="0"/>
        <v>3422</v>
      </c>
      <c r="I18" s="20" t="s">
        <v>22</v>
      </c>
      <c r="J18" s="21">
        <v>30</v>
      </c>
      <c r="K18" s="22">
        <v>100</v>
      </c>
      <c r="L18" s="22">
        <f t="shared" si="1"/>
        <v>18</v>
      </c>
      <c r="M18" s="22">
        <f t="shared" si="2"/>
        <v>118</v>
      </c>
      <c r="N18" s="23">
        <f t="shared" si="3"/>
        <v>3540</v>
      </c>
      <c r="O18" s="23">
        <v>1</v>
      </c>
      <c r="P18" s="22">
        <f t="shared" si="6"/>
        <v>29</v>
      </c>
      <c r="Q18" s="22">
        <f t="shared" si="4"/>
        <v>3422</v>
      </c>
      <c r="R18" s="20" t="s">
        <v>32</v>
      </c>
      <c r="S18" s="24"/>
    </row>
    <row r="19" spans="2:19" s="25" customFormat="1" ht="20.25" x14ac:dyDescent="0.3">
      <c r="B19" s="16">
        <f t="shared" si="7"/>
        <v>11</v>
      </c>
      <c r="C19" s="17">
        <v>44162</v>
      </c>
      <c r="D19" s="17">
        <v>44187</v>
      </c>
      <c r="E19" s="18" t="s">
        <v>45</v>
      </c>
      <c r="F19" s="18" t="s">
        <v>46</v>
      </c>
      <c r="G19" s="19">
        <f t="shared" si="5"/>
        <v>55</v>
      </c>
      <c r="H19" s="19">
        <f t="shared" si="0"/>
        <v>7139.0000000000009</v>
      </c>
      <c r="I19" s="20" t="s">
        <v>22</v>
      </c>
      <c r="J19" s="21">
        <v>60</v>
      </c>
      <c r="K19" s="22">
        <v>110</v>
      </c>
      <c r="L19" s="22">
        <f t="shared" si="1"/>
        <v>19.8</v>
      </c>
      <c r="M19" s="22">
        <f t="shared" si="2"/>
        <v>129.80000000000001</v>
      </c>
      <c r="N19" s="23">
        <f t="shared" si="3"/>
        <v>7788.0000000000009</v>
      </c>
      <c r="O19" s="23">
        <v>5</v>
      </c>
      <c r="P19" s="22">
        <f t="shared" si="6"/>
        <v>55</v>
      </c>
      <c r="Q19" s="22">
        <f t="shared" si="4"/>
        <v>7139.0000000000009</v>
      </c>
      <c r="R19" s="20" t="s">
        <v>32</v>
      </c>
      <c r="S19" s="24"/>
    </row>
    <row r="20" spans="2:19" s="25" customFormat="1" ht="20.25" x14ac:dyDescent="0.3">
      <c r="B20" s="16">
        <f t="shared" si="7"/>
        <v>12</v>
      </c>
      <c r="C20" s="17">
        <v>44162</v>
      </c>
      <c r="D20" s="17">
        <v>44187</v>
      </c>
      <c r="E20" s="18" t="s">
        <v>47</v>
      </c>
      <c r="F20" s="18" t="s">
        <v>48</v>
      </c>
      <c r="G20" s="19">
        <f t="shared" si="5"/>
        <v>18</v>
      </c>
      <c r="H20" s="19">
        <f t="shared" si="0"/>
        <v>3186</v>
      </c>
      <c r="I20" s="20" t="s">
        <v>22</v>
      </c>
      <c r="J20" s="21">
        <v>20</v>
      </c>
      <c r="K20" s="22">
        <v>150</v>
      </c>
      <c r="L20" s="22">
        <f t="shared" si="1"/>
        <v>27</v>
      </c>
      <c r="M20" s="22">
        <f t="shared" si="2"/>
        <v>177</v>
      </c>
      <c r="N20" s="23">
        <f t="shared" si="3"/>
        <v>3540</v>
      </c>
      <c r="O20" s="28">
        <v>2</v>
      </c>
      <c r="P20" s="22">
        <f t="shared" si="6"/>
        <v>18</v>
      </c>
      <c r="Q20" s="22">
        <f t="shared" si="4"/>
        <v>3186</v>
      </c>
      <c r="R20" s="20" t="s">
        <v>32</v>
      </c>
      <c r="S20" s="24"/>
    </row>
    <row r="21" spans="2:19" s="25" customFormat="1" ht="20.25" x14ac:dyDescent="0.3">
      <c r="B21" s="16">
        <f t="shared" si="7"/>
        <v>13</v>
      </c>
      <c r="C21" s="17">
        <v>44162</v>
      </c>
      <c r="D21" s="17">
        <v>44187</v>
      </c>
      <c r="E21" s="18" t="s">
        <v>49</v>
      </c>
      <c r="F21" s="18" t="s">
        <v>50</v>
      </c>
      <c r="G21" s="19">
        <f t="shared" si="5"/>
        <v>20</v>
      </c>
      <c r="H21" s="19">
        <f t="shared" si="0"/>
        <v>4720</v>
      </c>
      <c r="I21" s="20" t="s">
        <v>22</v>
      </c>
      <c r="J21" s="21">
        <v>20</v>
      </c>
      <c r="K21" s="22">
        <v>200</v>
      </c>
      <c r="L21" s="22">
        <f t="shared" si="1"/>
        <v>36</v>
      </c>
      <c r="M21" s="22">
        <f t="shared" si="2"/>
        <v>236</v>
      </c>
      <c r="N21" s="23">
        <f t="shared" si="3"/>
        <v>4720</v>
      </c>
      <c r="O21" s="23">
        <v>0</v>
      </c>
      <c r="P21" s="22">
        <f t="shared" si="6"/>
        <v>20</v>
      </c>
      <c r="Q21" s="22">
        <f t="shared" si="4"/>
        <v>4720</v>
      </c>
      <c r="R21" s="20" t="s">
        <v>32</v>
      </c>
      <c r="S21" s="24"/>
    </row>
    <row r="22" spans="2:19" s="25" customFormat="1" ht="20.25" x14ac:dyDescent="0.3">
      <c r="B22" s="16">
        <f t="shared" si="7"/>
        <v>14</v>
      </c>
      <c r="C22" s="17">
        <v>43252</v>
      </c>
      <c r="D22" s="17">
        <v>43253</v>
      </c>
      <c r="E22" s="18" t="s">
        <v>43</v>
      </c>
      <c r="F22" s="18" t="s">
        <v>51</v>
      </c>
      <c r="G22" s="19">
        <f t="shared" si="5"/>
        <v>3</v>
      </c>
      <c r="H22" s="19">
        <f t="shared" si="0"/>
        <v>1062</v>
      </c>
      <c r="I22" s="20" t="s">
        <v>22</v>
      </c>
      <c r="J22" s="21">
        <v>15</v>
      </c>
      <c r="K22" s="22">
        <v>300</v>
      </c>
      <c r="L22" s="22">
        <f t="shared" si="1"/>
        <v>54</v>
      </c>
      <c r="M22" s="22">
        <f t="shared" si="2"/>
        <v>354</v>
      </c>
      <c r="N22" s="23">
        <f t="shared" si="3"/>
        <v>5310</v>
      </c>
      <c r="O22" s="23">
        <f>2+6+1+1+1+1</f>
        <v>12</v>
      </c>
      <c r="P22" s="22">
        <f t="shared" si="6"/>
        <v>3</v>
      </c>
      <c r="Q22" s="22">
        <f t="shared" si="4"/>
        <v>1062</v>
      </c>
      <c r="R22" s="20" t="s">
        <v>25</v>
      </c>
      <c r="S22" s="24">
        <f t="shared" ref="S22:S27" si="8">Q22/P22</f>
        <v>354</v>
      </c>
    </row>
    <row r="23" spans="2:19" s="25" customFormat="1" ht="20.25" x14ac:dyDescent="0.3">
      <c r="B23" s="16">
        <f t="shared" si="7"/>
        <v>15</v>
      </c>
      <c r="C23" s="17">
        <v>44162</v>
      </c>
      <c r="D23" s="17">
        <v>44187</v>
      </c>
      <c r="E23" s="18" t="s">
        <v>52</v>
      </c>
      <c r="F23" s="18" t="s">
        <v>53</v>
      </c>
      <c r="G23" s="19">
        <f t="shared" si="5"/>
        <v>2</v>
      </c>
      <c r="H23" s="19">
        <f t="shared" si="0"/>
        <v>1900</v>
      </c>
      <c r="I23" s="20" t="s">
        <v>22</v>
      </c>
      <c r="J23" s="21">
        <v>10</v>
      </c>
      <c r="K23" s="22">
        <f>950</f>
        <v>950</v>
      </c>
      <c r="L23" s="22">
        <v>0</v>
      </c>
      <c r="M23" s="22">
        <f>+K23</f>
        <v>950</v>
      </c>
      <c r="N23" s="23">
        <f t="shared" si="3"/>
        <v>9500</v>
      </c>
      <c r="O23" s="23">
        <f>2+4+2</f>
        <v>8</v>
      </c>
      <c r="P23" s="22">
        <f t="shared" si="6"/>
        <v>2</v>
      </c>
      <c r="Q23" s="22">
        <f t="shared" si="4"/>
        <v>1900</v>
      </c>
      <c r="R23" s="20" t="s">
        <v>54</v>
      </c>
      <c r="S23" s="24">
        <f t="shared" si="8"/>
        <v>950</v>
      </c>
    </row>
    <row r="24" spans="2:19" s="25" customFormat="1" ht="20.25" x14ac:dyDescent="0.3">
      <c r="B24" s="16">
        <f t="shared" si="7"/>
        <v>16</v>
      </c>
      <c r="C24" s="17">
        <v>43830</v>
      </c>
      <c r="D24" s="17">
        <v>43859</v>
      </c>
      <c r="E24" s="18" t="s">
        <v>43</v>
      </c>
      <c r="F24" s="18" t="s">
        <v>55</v>
      </c>
      <c r="G24" s="19">
        <f t="shared" si="5"/>
        <v>12</v>
      </c>
      <c r="H24" s="19">
        <f t="shared" si="0"/>
        <v>4248</v>
      </c>
      <c r="I24" s="20" t="s">
        <v>22</v>
      </c>
      <c r="J24" s="21">
        <v>15</v>
      </c>
      <c r="K24" s="22">
        <v>300</v>
      </c>
      <c r="L24" s="22">
        <f t="shared" ref="L24:L55" si="9">+K24*18%</f>
        <v>54</v>
      </c>
      <c r="M24" s="22">
        <f t="shared" ref="M24:M56" si="10">+K24+L24</f>
        <v>354</v>
      </c>
      <c r="N24" s="23">
        <f t="shared" si="3"/>
        <v>5310</v>
      </c>
      <c r="O24" s="23">
        <v>3</v>
      </c>
      <c r="P24" s="22">
        <f t="shared" si="6"/>
        <v>12</v>
      </c>
      <c r="Q24" s="22">
        <f t="shared" si="4"/>
        <v>4248</v>
      </c>
      <c r="R24" s="20"/>
      <c r="S24" s="24">
        <f t="shared" si="8"/>
        <v>354</v>
      </c>
    </row>
    <row r="25" spans="2:19" s="25" customFormat="1" ht="20.25" x14ac:dyDescent="0.3">
      <c r="B25" s="16">
        <f t="shared" si="7"/>
        <v>17</v>
      </c>
      <c r="C25" s="17">
        <v>44162</v>
      </c>
      <c r="D25" s="17">
        <v>44187</v>
      </c>
      <c r="E25" s="18" t="s">
        <v>47</v>
      </c>
      <c r="F25" s="18" t="s">
        <v>56</v>
      </c>
      <c r="G25" s="19">
        <f t="shared" si="5"/>
        <v>2</v>
      </c>
      <c r="H25" s="19">
        <f t="shared" si="0"/>
        <v>1652</v>
      </c>
      <c r="I25" s="20" t="s">
        <v>22</v>
      </c>
      <c r="J25" s="21">
        <v>35</v>
      </c>
      <c r="K25" s="22">
        <v>700</v>
      </c>
      <c r="L25" s="22">
        <f t="shared" si="9"/>
        <v>126</v>
      </c>
      <c r="M25" s="22">
        <f t="shared" si="10"/>
        <v>826</v>
      </c>
      <c r="N25" s="23">
        <f t="shared" si="3"/>
        <v>28910</v>
      </c>
      <c r="O25" s="23">
        <f>10+2+2+3+1+1+3+1+3+1+3+1+1+1</f>
        <v>33</v>
      </c>
      <c r="P25" s="22">
        <f t="shared" si="6"/>
        <v>2</v>
      </c>
      <c r="Q25" s="22">
        <f t="shared" si="4"/>
        <v>1652</v>
      </c>
      <c r="R25" s="20"/>
      <c r="S25" s="24">
        <f t="shared" si="8"/>
        <v>826</v>
      </c>
    </row>
    <row r="26" spans="2:19" s="25" customFormat="1" ht="20.25" x14ac:dyDescent="0.3">
      <c r="B26" s="16">
        <f>+B25+1</f>
        <v>18</v>
      </c>
      <c r="C26" s="17">
        <v>44162</v>
      </c>
      <c r="D26" s="17">
        <v>44187</v>
      </c>
      <c r="E26" s="18" t="s">
        <v>52</v>
      </c>
      <c r="F26" s="18" t="s">
        <v>57</v>
      </c>
      <c r="G26" s="19">
        <f t="shared" si="5"/>
        <v>1</v>
      </c>
      <c r="H26" s="19">
        <f t="shared" si="0"/>
        <v>1416</v>
      </c>
      <c r="I26" s="20" t="s">
        <v>22</v>
      </c>
      <c r="J26" s="21">
        <v>18</v>
      </c>
      <c r="K26" s="22">
        <v>1200</v>
      </c>
      <c r="L26" s="22">
        <f t="shared" si="9"/>
        <v>216</v>
      </c>
      <c r="M26" s="22">
        <f t="shared" si="10"/>
        <v>1416</v>
      </c>
      <c r="N26" s="23">
        <f t="shared" si="3"/>
        <v>25488</v>
      </c>
      <c r="O26" s="23">
        <f>1+2+7+2+1+1+1+2</f>
        <v>17</v>
      </c>
      <c r="P26" s="22">
        <f t="shared" si="6"/>
        <v>1</v>
      </c>
      <c r="Q26" s="22">
        <f t="shared" si="4"/>
        <v>1416</v>
      </c>
      <c r="R26" s="20"/>
      <c r="S26" s="24">
        <f t="shared" si="8"/>
        <v>1416</v>
      </c>
    </row>
    <row r="27" spans="2:19" s="25" customFormat="1" ht="20.25" x14ac:dyDescent="0.3">
      <c r="B27" s="16">
        <f>+B26+1</f>
        <v>19</v>
      </c>
      <c r="C27" s="17">
        <v>44162</v>
      </c>
      <c r="D27" s="17">
        <v>44187</v>
      </c>
      <c r="E27" s="18" t="s">
        <v>58</v>
      </c>
      <c r="F27" s="18" t="s">
        <v>59</v>
      </c>
      <c r="G27" s="19">
        <f t="shared" si="5"/>
        <v>29</v>
      </c>
      <c r="H27" s="19">
        <f t="shared" si="0"/>
        <v>13345.8</v>
      </c>
      <c r="I27" s="20" t="s">
        <v>22</v>
      </c>
      <c r="J27" s="21">
        <v>36</v>
      </c>
      <c r="K27" s="22">
        <v>390</v>
      </c>
      <c r="L27" s="22">
        <f t="shared" si="9"/>
        <v>70.2</v>
      </c>
      <c r="M27" s="22">
        <f t="shared" si="10"/>
        <v>460.2</v>
      </c>
      <c r="N27" s="23">
        <f t="shared" si="3"/>
        <v>16567.2</v>
      </c>
      <c r="O27" s="23">
        <f>1+2+1+1+2</f>
        <v>7</v>
      </c>
      <c r="P27" s="22">
        <f t="shared" si="6"/>
        <v>29</v>
      </c>
      <c r="Q27" s="22">
        <f t="shared" si="4"/>
        <v>13345.8</v>
      </c>
      <c r="R27" s="20"/>
      <c r="S27" s="24">
        <f t="shared" si="8"/>
        <v>460.2</v>
      </c>
    </row>
    <row r="28" spans="2:19" s="25" customFormat="1" ht="20.25" x14ac:dyDescent="0.3">
      <c r="B28" s="16">
        <f t="shared" si="7"/>
        <v>20</v>
      </c>
      <c r="C28" s="17">
        <v>44162</v>
      </c>
      <c r="D28" s="17">
        <v>44187</v>
      </c>
      <c r="E28" s="18" t="s">
        <v>58</v>
      </c>
      <c r="F28" s="18" t="s">
        <v>59</v>
      </c>
      <c r="G28" s="19">
        <f t="shared" si="5"/>
        <v>12</v>
      </c>
      <c r="H28" s="19">
        <f t="shared" si="0"/>
        <v>212.39999999999998</v>
      </c>
      <c r="I28" s="20" t="s">
        <v>22</v>
      </c>
      <c r="J28" s="21">
        <v>12</v>
      </c>
      <c r="K28" s="22">
        <v>15</v>
      </c>
      <c r="L28" s="22">
        <f t="shared" si="9"/>
        <v>2.6999999999999997</v>
      </c>
      <c r="M28" s="22">
        <f t="shared" si="10"/>
        <v>17.7</v>
      </c>
      <c r="N28" s="23">
        <f t="shared" si="3"/>
        <v>212.39999999999998</v>
      </c>
      <c r="O28" s="23"/>
      <c r="P28" s="22">
        <f t="shared" si="6"/>
        <v>12</v>
      </c>
      <c r="Q28" s="22">
        <f t="shared" si="4"/>
        <v>212.39999999999998</v>
      </c>
      <c r="R28" s="20" t="s">
        <v>32</v>
      </c>
      <c r="S28" s="24"/>
    </row>
    <row r="29" spans="2:19" s="25" customFormat="1" ht="18.75" customHeight="1" x14ac:dyDescent="0.3">
      <c r="B29" s="16">
        <f t="shared" si="7"/>
        <v>21</v>
      </c>
      <c r="C29" s="17">
        <v>43609</v>
      </c>
      <c r="D29" s="17">
        <v>43612</v>
      </c>
      <c r="E29" s="18" t="s">
        <v>60</v>
      </c>
      <c r="F29" s="18" t="s">
        <v>61</v>
      </c>
      <c r="G29" s="19">
        <f t="shared" si="5"/>
        <v>2</v>
      </c>
      <c r="H29" s="19">
        <f t="shared" si="0"/>
        <v>16874</v>
      </c>
      <c r="I29" s="20" t="s">
        <v>22</v>
      </c>
      <c r="J29" s="21">
        <v>2</v>
      </c>
      <c r="K29" s="22">
        <v>7150</v>
      </c>
      <c r="L29" s="22">
        <f t="shared" si="9"/>
        <v>1287</v>
      </c>
      <c r="M29" s="22">
        <f t="shared" si="10"/>
        <v>8437</v>
      </c>
      <c r="N29" s="23">
        <f t="shared" si="3"/>
        <v>16874</v>
      </c>
      <c r="O29" s="23">
        <v>0</v>
      </c>
      <c r="P29" s="22">
        <f t="shared" si="6"/>
        <v>2</v>
      </c>
      <c r="Q29" s="22">
        <f t="shared" si="4"/>
        <v>16874</v>
      </c>
      <c r="R29" s="20" t="s">
        <v>32</v>
      </c>
      <c r="S29" s="24"/>
    </row>
    <row r="30" spans="2:19" s="25" customFormat="1" ht="20.25" x14ac:dyDescent="0.3">
      <c r="B30" s="16">
        <f t="shared" si="7"/>
        <v>22</v>
      </c>
      <c r="C30" s="17">
        <v>43609</v>
      </c>
      <c r="D30" s="17">
        <v>43612</v>
      </c>
      <c r="E30" s="18" t="s">
        <v>62</v>
      </c>
      <c r="F30" s="18" t="s">
        <v>63</v>
      </c>
      <c r="G30" s="19">
        <f t="shared" si="5"/>
        <v>2</v>
      </c>
      <c r="H30" s="19">
        <f t="shared" si="0"/>
        <v>16874</v>
      </c>
      <c r="I30" s="20" t="s">
        <v>22</v>
      </c>
      <c r="J30" s="21">
        <v>2</v>
      </c>
      <c r="K30" s="22">
        <v>7150</v>
      </c>
      <c r="L30" s="22">
        <f t="shared" si="9"/>
        <v>1287</v>
      </c>
      <c r="M30" s="22">
        <f t="shared" si="10"/>
        <v>8437</v>
      </c>
      <c r="N30" s="23">
        <f t="shared" si="3"/>
        <v>16874</v>
      </c>
      <c r="O30" s="23">
        <v>0</v>
      </c>
      <c r="P30" s="22">
        <f t="shared" si="6"/>
        <v>2</v>
      </c>
      <c r="Q30" s="22">
        <f t="shared" si="4"/>
        <v>16874</v>
      </c>
      <c r="R30" s="20" t="s">
        <v>32</v>
      </c>
      <c r="S30" s="24"/>
    </row>
    <row r="31" spans="2:19" s="25" customFormat="1" ht="20.25" x14ac:dyDescent="0.3">
      <c r="B31" s="16">
        <f t="shared" si="7"/>
        <v>23</v>
      </c>
      <c r="C31" s="17">
        <v>43609</v>
      </c>
      <c r="D31" s="17">
        <v>43612</v>
      </c>
      <c r="E31" s="18" t="s">
        <v>64</v>
      </c>
      <c r="F31" s="18" t="s">
        <v>65</v>
      </c>
      <c r="G31" s="19">
        <f t="shared" si="5"/>
        <v>2</v>
      </c>
      <c r="H31" s="19">
        <f t="shared" si="0"/>
        <v>16874</v>
      </c>
      <c r="I31" s="20" t="s">
        <v>22</v>
      </c>
      <c r="J31" s="21">
        <v>2</v>
      </c>
      <c r="K31" s="22">
        <v>7150</v>
      </c>
      <c r="L31" s="22">
        <f t="shared" si="9"/>
        <v>1287</v>
      </c>
      <c r="M31" s="22">
        <f t="shared" si="10"/>
        <v>8437</v>
      </c>
      <c r="N31" s="23">
        <f t="shared" si="3"/>
        <v>16874</v>
      </c>
      <c r="O31" s="23">
        <v>0</v>
      </c>
      <c r="P31" s="22">
        <f t="shared" si="6"/>
        <v>2</v>
      </c>
      <c r="Q31" s="22">
        <f t="shared" si="4"/>
        <v>16874</v>
      </c>
      <c r="R31" s="20" t="s">
        <v>32</v>
      </c>
      <c r="S31" s="24"/>
    </row>
    <row r="32" spans="2:19" s="25" customFormat="1" ht="20.25" x14ac:dyDescent="0.3">
      <c r="B32" s="16">
        <f t="shared" si="7"/>
        <v>24</v>
      </c>
      <c r="C32" s="17">
        <v>43252</v>
      </c>
      <c r="D32" s="17">
        <v>43253</v>
      </c>
      <c r="E32" s="18" t="s">
        <v>66</v>
      </c>
      <c r="F32" s="18" t="s">
        <v>67</v>
      </c>
      <c r="G32" s="19">
        <f t="shared" si="5"/>
        <v>4</v>
      </c>
      <c r="H32" s="19">
        <f t="shared" si="0"/>
        <v>33040</v>
      </c>
      <c r="I32" s="20" t="s">
        <v>22</v>
      </c>
      <c r="J32" s="21">
        <v>4</v>
      </c>
      <c r="K32" s="22">
        <v>7000</v>
      </c>
      <c r="L32" s="22">
        <f t="shared" si="9"/>
        <v>1260</v>
      </c>
      <c r="M32" s="22">
        <f t="shared" si="10"/>
        <v>8260</v>
      </c>
      <c r="N32" s="23">
        <f t="shared" si="3"/>
        <v>33040</v>
      </c>
      <c r="O32" s="23">
        <v>0</v>
      </c>
      <c r="P32" s="22">
        <f t="shared" si="6"/>
        <v>4</v>
      </c>
      <c r="Q32" s="22">
        <f t="shared" si="4"/>
        <v>33040</v>
      </c>
      <c r="R32" s="20" t="s">
        <v>32</v>
      </c>
      <c r="S32" s="24"/>
    </row>
    <row r="33" spans="2:19" s="25" customFormat="1" ht="20.25" x14ac:dyDescent="0.3">
      <c r="B33" s="16">
        <f t="shared" si="7"/>
        <v>25</v>
      </c>
      <c r="C33" s="17">
        <v>43252</v>
      </c>
      <c r="D33" s="17">
        <v>43253</v>
      </c>
      <c r="E33" s="18" t="s">
        <v>68</v>
      </c>
      <c r="F33" s="18" t="s">
        <v>69</v>
      </c>
      <c r="G33" s="19">
        <f t="shared" si="5"/>
        <v>2</v>
      </c>
      <c r="H33" s="19">
        <f t="shared" si="0"/>
        <v>16874</v>
      </c>
      <c r="I33" s="20" t="s">
        <v>22</v>
      </c>
      <c r="J33" s="21">
        <v>2</v>
      </c>
      <c r="K33" s="22">
        <v>7150</v>
      </c>
      <c r="L33" s="22">
        <f t="shared" si="9"/>
        <v>1287</v>
      </c>
      <c r="M33" s="22">
        <f t="shared" si="10"/>
        <v>8437</v>
      </c>
      <c r="N33" s="23">
        <f t="shared" si="3"/>
        <v>16874</v>
      </c>
      <c r="O33" s="23">
        <v>0</v>
      </c>
      <c r="P33" s="22">
        <f t="shared" si="6"/>
        <v>2</v>
      </c>
      <c r="Q33" s="22">
        <f t="shared" si="4"/>
        <v>16874</v>
      </c>
      <c r="R33" s="20" t="s">
        <v>32</v>
      </c>
      <c r="S33" s="24"/>
    </row>
    <row r="34" spans="2:19" s="25" customFormat="1" ht="20.25" x14ac:dyDescent="0.3">
      <c r="B34" s="16">
        <f t="shared" si="7"/>
        <v>26</v>
      </c>
      <c r="C34" s="17">
        <v>43252</v>
      </c>
      <c r="D34" s="17">
        <v>43253</v>
      </c>
      <c r="E34" s="18" t="s">
        <v>70</v>
      </c>
      <c r="F34" s="27" t="s">
        <v>71</v>
      </c>
      <c r="G34" s="19">
        <f t="shared" si="5"/>
        <v>16</v>
      </c>
      <c r="H34" s="19">
        <f t="shared" si="0"/>
        <v>1311.1111111111111</v>
      </c>
      <c r="I34" s="20" t="s">
        <v>22</v>
      </c>
      <c r="J34" s="21">
        <v>125</v>
      </c>
      <c r="K34" s="22">
        <v>69.444444444444443</v>
      </c>
      <c r="L34" s="22">
        <f t="shared" si="9"/>
        <v>12.5</v>
      </c>
      <c r="M34" s="22">
        <f t="shared" si="10"/>
        <v>81.944444444444443</v>
      </c>
      <c r="N34" s="23">
        <f t="shared" si="3"/>
        <v>10243.055555555555</v>
      </c>
      <c r="O34" s="23">
        <f>28+1+10+2+1+25+25+2+5+6+1+2+1</f>
        <v>109</v>
      </c>
      <c r="P34" s="22">
        <f t="shared" si="6"/>
        <v>16</v>
      </c>
      <c r="Q34" s="22">
        <f t="shared" si="4"/>
        <v>1311.1111111111111</v>
      </c>
      <c r="R34" s="20"/>
      <c r="S34" s="24">
        <f>Q34/P34</f>
        <v>81.944444444444443</v>
      </c>
    </row>
    <row r="35" spans="2:19" s="25" customFormat="1" ht="20.25" x14ac:dyDescent="0.3">
      <c r="B35" s="16">
        <f t="shared" si="7"/>
        <v>27</v>
      </c>
      <c r="C35" s="17">
        <v>44162</v>
      </c>
      <c r="D35" s="17">
        <v>44187</v>
      </c>
      <c r="E35" s="18" t="s">
        <v>72</v>
      </c>
      <c r="F35" s="27" t="s">
        <v>73</v>
      </c>
      <c r="G35" s="19">
        <f t="shared" si="5"/>
        <v>41</v>
      </c>
      <c r="H35" s="19">
        <f t="shared" si="0"/>
        <v>1790.06</v>
      </c>
      <c r="I35" s="20" t="s">
        <v>22</v>
      </c>
      <c r="J35" s="21">
        <v>50</v>
      </c>
      <c r="K35" s="22">
        <v>37</v>
      </c>
      <c r="L35" s="22">
        <f t="shared" si="9"/>
        <v>6.66</v>
      </c>
      <c r="M35" s="22">
        <f t="shared" si="10"/>
        <v>43.66</v>
      </c>
      <c r="N35" s="23">
        <f t="shared" si="3"/>
        <v>2183</v>
      </c>
      <c r="O35" s="23">
        <f>6+3</f>
        <v>9</v>
      </c>
      <c r="P35" s="22">
        <f t="shared" si="6"/>
        <v>41</v>
      </c>
      <c r="Q35" s="22">
        <f t="shared" si="4"/>
        <v>1790.06</v>
      </c>
      <c r="R35" s="20" t="s">
        <v>32</v>
      </c>
      <c r="S35" s="24"/>
    </row>
    <row r="36" spans="2:19" s="25" customFormat="1" ht="20.25" x14ac:dyDescent="0.3">
      <c r="B36" s="16">
        <f t="shared" si="7"/>
        <v>28</v>
      </c>
      <c r="C36" s="17">
        <v>43609</v>
      </c>
      <c r="D36" s="17">
        <v>43612</v>
      </c>
      <c r="E36" s="18" t="s">
        <v>74</v>
      </c>
      <c r="F36" s="18" t="s">
        <v>75</v>
      </c>
      <c r="G36" s="19">
        <f t="shared" si="5"/>
        <v>8</v>
      </c>
      <c r="H36" s="19">
        <f t="shared" si="0"/>
        <v>755.2</v>
      </c>
      <c r="I36" s="20" t="s">
        <v>22</v>
      </c>
      <c r="J36" s="21">
        <v>10</v>
      </c>
      <c r="K36" s="22">
        <v>80</v>
      </c>
      <c r="L36" s="22">
        <f t="shared" si="9"/>
        <v>14.399999999999999</v>
      </c>
      <c r="M36" s="22">
        <f t="shared" si="10"/>
        <v>94.4</v>
      </c>
      <c r="N36" s="23">
        <f t="shared" si="3"/>
        <v>944</v>
      </c>
      <c r="O36" s="23">
        <f>1+1</f>
        <v>2</v>
      </c>
      <c r="P36" s="22">
        <f t="shared" si="6"/>
        <v>8</v>
      </c>
      <c r="Q36" s="22">
        <f t="shared" si="4"/>
        <v>755.2</v>
      </c>
      <c r="R36" s="20" t="s">
        <v>25</v>
      </c>
      <c r="S36" s="24">
        <f>Q36/P36</f>
        <v>94.4</v>
      </c>
    </row>
    <row r="37" spans="2:19" s="25" customFormat="1" ht="20.25" x14ac:dyDescent="0.3">
      <c r="B37" s="16">
        <f t="shared" si="7"/>
        <v>29</v>
      </c>
      <c r="C37" s="17">
        <v>44162</v>
      </c>
      <c r="D37" s="17">
        <v>44187</v>
      </c>
      <c r="E37" s="18" t="s">
        <v>74</v>
      </c>
      <c r="F37" s="18" t="s">
        <v>75</v>
      </c>
      <c r="G37" s="19">
        <f t="shared" si="5"/>
        <v>12</v>
      </c>
      <c r="H37" s="19">
        <f t="shared" si="0"/>
        <v>708</v>
      </c>
      <c r="I37" s="20" t="s">
        <v>22</v>
      </c>
      <c r="J37" s="21">
        <v>12</v>
      </c>
      <c r="K37" s="22">
        <v>50</v>
      </c>
      <c r="L37" s="22">
        <f t="shared" si="9"/>
        <v>9</v>
      </c>
      <c r="M37" s="22">
        <f t="shared" si="10"/>
        <v>59</v>
      </c>
      <c r="N37" s="23">
        <f t="shared" si="3"/>
        <v>708</v>
      </c>
      <c r="O37" s="23">
        <v>0</v>
      </c>
      <c r="P37" s="22">
        <f t="shared" si="6"/>
        <v>12</v>
      </c>
      <c r="Q37" s="22">
        <f t="shared" si="4"/>
        <v>708</v>
      </c>
      <c r="R37" s="20" t="s">
        <v>32</v>
      </c>
    </row>
    <row r="38" spans="2:19" s="25" customFormat="1" ht="20.25" x14ac:dyDescent="0.3">
      <c r="B38" s="16">
        <f t="shared" si="7"/>
        <v>30</v>
      </c>
      <c r="C38" s="17">
        <v>43609</v>
      </c>
      <c r="D38" s="17">
        <v>43612</v>
      </c>
      <c r="E38" s="18" t="s">
        <v>76</v>
      </c>
      <c r="F38" s="18" t="s">
        <v>77</v>
      </c>
      <c r="G38" s="19">
        <f t="shared" si="5"/>
        <v>8</v>
      </c>
      <c r="H38" s="19">
        <f t="shared" si="0"/>
        <v>472</v>
      </c>
      <c r="I38" s="20" t="s">
        <v>22</v>
      </c>
      <c r="J38" s="21">
        <v>20</v>
      </c>
      <c r="K38" s="22">
        <v>50</v>
      </c>
      <c r="L38" s="22">
        <f t="shared" si="9"/>
        <v>9</v>
      </c>
      <c r="M38" s="22">
        <f t="shared" si="10"/>
        <v>59</v>
      </c>
      <c r="N38" s="23">
        <f t="shared" si="3"/>
        <v>1180</v>
      </c>
      <c r="O38" s="23">
        <f>1+4+3+3+1</f>
        <v>12</v>
      </c>
      <c r="P38" s="22">
        <f t="shared" si="6"/>
        <v>8</v>
      </c>
      <c r="Q38" s="22">
        <f t="shared" si="4"/>
        <v>472</v>
      </c>
      <c r="R38" s="20" t="s">
        <v>25</v>
      </c>
      <c r="S38" s="24">
        <f t="shared" ref="S38:S59" si="11">Q38/P38</f>
        <v>59</v>
      </c>
    </row>
    <row r="39" spans="2:19" s="25" customFormat="1" ht="20.25" x14ac:dyDescent="0.3">
      <c r="B39" s="16">
        <f t="shared" si="7"/>
        <v>31</v>
      </c>
      <c r="C39" s="17">
        <v>43609</v>
      </c>
      <c r="D39" s="17">
        <v>43612</v>
      </c>
      <c r="E39" s="18" t="s">
        <v>78</v>
      </c>
      <c r="F39" s="18" t="s">
        <v>79</v>
      </c>
      <c r="G39" s="19">
        <f t="shared" si="5"/>
        <v>5</v>
      </c>
      <c r="H39" s="19">
        <f t="shared" si="0"/>
        <v>678.5</v>
      </c>
      <c r="I39" s="20" t="s">
        <v>22</v>
      </c>
      <c r="J39" s="21">
        <v>6</v>
      </c>
      <c r="K39" s="22">
        <v>115</v>
      </c>
      <c r="L39" s="22">
        <f t="shared" si="9"/>
        <v>20.7</v>
      </c>
      <c r="M39" s="22">
        <f t="shared" si="10"/>
        <v>135.69999999999999</v>
      </c>
      <c r="N39" s="23">
        <f t="shared" si="3"/>
        <v>814.19999999999993</v>
      </c>
      <c r="O39" s="23">
        <v>1</v>
      </c>
      <c r="P39" s="22">
        <f t="shared" si="6"/>
        <v>5</v>
      </c>
      <c r="Q39" s="22">
        <f t="shared" si="4"/>
        <v>678.5</v>
      </c>
      <c r="R39" s="20" t="s">
        <v>25</v>
      </c>
      <c r="S39" s="24">
        <f t="shared" si="11"/>
        <v>135.69999999999999</v>
      </c>
    </row>
    <row r="40" spans="2:19" s="25" customFormat="1" ht="20.25" x14ac:dyDescent="0.3">
      <c r="B40" s="16">
        <f t="shared" si="7"/>
        <v>32</v>
      </c>
      <c r="C40" s="17">
        <v>44162</v>
      </c>
      <c r="D40" s="17">
        <v>44187</v>
      </c>
      <c r="E40" s="18" t="s">
        <v>78</v>
      </c>
      <c r="F40" s="18" t="s">
        <v>79</v>
      </c>
      <c r="G40" s="19">
        <f t="shared" si="5"/>
        <v>60</v>
      </c>
      <c r="H40" s="19">
        <f t="shared" si="0"/>
        <v>3540</v>
      </c>
      <c r="I40" s="20" t="s">
        <v>22</v>
      </c>
      <c r="J40" s="21">
        <v>60</v>
      </c>
      <c r="K40" s="22">
        <v>50</v>
      </c>
      <c r="L40" s="22">
        <f t="shared" si="9"/>
        <v>9</v>
      </c>
      <c r="M40" s="22">
        <f t="shared" si="10"/>
        <v>59</v>
      </c>
      <c r="N40" s="23">
        <f t="shared" si="3"/>
        <v>3540</v>
      </c>
      <c r="O40" s="23">
        <v>0</v>
      </c>
      <c r="P40" s="22">
        <f t="shared" si="6"/>
        <v>60</v>
      </c>
      <c r="Q40" s="22">
        <f t="shared" si="4"/>
        <v>3540</v>
      </c>
      <c r="R40" s="20" t="s">
        <v>32</v>
      </c>
      <c r="S40" s="24">
        <f t="shared" si="11"/>
        <v>59</v>
      </c>
    </row>
    <row r="41" spans="2:19" s="25" customFormat="1" ht="20.25" x14ac:dyDescent="0.3">
      <c r="B41" s="16">
        <f t="shared" si="7"/>
        <v>33</v>
      </c>
      <c r="C41" s="17">
        <v>43252</v>
      </c>
      <c r="D41" s="17">
        <v>43255</v>
      </c>
      <c r="E41" s="18" t="s">
        <v>80</v>
      </c>
      <c r="F41" s="18" t="s">
        <v>81</v>
      </c>
      <c r="G41" s="19">
        <f t="shared" si="5"/>
        <v>2</v>
      </c>
      <c r="H41" s="19">
        <f t="shared" si="0"/>
        <v>118</v>
      </c>
      <c r="I41" s="20" t="s">
        <v>22</v>
      </c>
      <c r="J41" s="21">
        <v>20</v>
      </c>
      <c r="K41" s="22">
        <v>50</v>
      </c>
      <c r="L41" s="22">
        <f t="shared" si="9"/>
        <v>9</v>
      </c>
      <c r="M41" s="22">
        <f t="shared" si="10"/>
        <v>59</v>
      </c>
      <c r="N41" s="23">
        <f t="shared" si="3"/>
        <v>1180</v>
      </c>
      <c r="O41" s="23">
        <f>2+3+1+4+2+2+1+3</f>
        <v>18</v>
      </c>
      <c r="P41" s="22">
        <f t="shared" si="6"/>
        <v>2</v>
      </c>
      <c r="Q41" s="22">
        <f t="shared" si="4"/>
        <v>118</v>
      </c>
      <c r="R41" s="20" t="s">
        <v>25</v>
      </c>
      <c r="S41" s="24">
        <f t="shared" si="11"/>
        <v>59</v>
      </c>
    </row>
    <row r="42" spans="2:19" s="25" customFormat="1" ht="20.25" x14ac:dyDescent="0.3">
      <c r="B42" s="16">
        <f t="shared" si="7"/>
        <v>34</v>
      </c>
      <c r="C42" s="17">
        <v>43609</v>
      </c>
      <c r="D42" s="17">
        <v>43612</v>
      </c>
      <c r="E42" s="18" t="s">
        <v>82</v>
      </c>
      <c r="F42" s="18" t="s">
        <v>83</v>
      </c>
      <c r="G42" s="19">
        <f t="shared" si="5"/>
        <v>2</v>
      </c>
      <c r="H42" s="19">
        <f t="shared" si="0"/>
        <v>236</v>
      </c>
      <c r="I42" s="20" t="s">
        <v>84</v>
      </c>
      <c r="J42" s="21">
        <v>11</v>
      </c>
      <c r="K42" s="22">
        <v>100</v>
      </c>
      <c r="L42" s="22">
        <f t="shared" si="9"/>
        <v>18</v>
      </c>
      <c r="M42" s="22">
        <f t="shared" si="10"/>
        <v>118</v>
      </c>
      <c r="N42" s="23">
        <f t="shared" si="3"/>
        <v>1298</v>
      </c>
      <c r="O42" s="23">
        <f>3+1+1+1+1+1+1</f>
        <v>9</v>
      </c>
      <c r="P42" s="22">
        <f t="shared" si="6"/>
        <v>2</v>
      </c>
      <c r="Q42" s="22">
        <f t="shared" si="4"/>
        <v>236</v>
      </c>
      <c r="R42" s="20" t="s">
        <v>25</v>
      </c>
      <c r="S42" s="24">
        <f t="shared" si="11"/>
        <v>118</v>
      </c>
    </row>
    <row r="43" spans="2:19" s="25" customFormat="1" ht="20.25" x14ac:dyDescent="0.3">
      <c r="B43" s="16">
        <f t="shared" si="7"/>
        <v>35</v>
      </c>
      <c r="C43" s="17">
        <v>43609</v>
      </c>
      <c r="D43" s="17">
        <v>43612</v>
      </c>
      <c r="E43" s="18" t="s">
        <v>82</v>
      </c>
      <c r="F43" s="18" t="s">
        <v>83</v>
      </c>
      <c r="G43" s="19">
        <f t="shared" si="5"/>
        <v>4</v>
      </c>
      <c r="H43" s="19">
        <f t="shared" si="0"/>
        <v>118</v>
      </c>
      <c r="I43" s="20" t="s">
        <v>84</v>
      </c>
      <c r="J43" s="21">
        <v>4</v>
      </c>
      <c r="K43" s="22">
        <v>25</v>
      </c>
      <c r="L43" s="22">
        <f t="shared" si="9"/>
        <v>4.5</v>
      </c>
      <c r="M43" s="22">
        <f t="shared" si="10"/>
        <v>29.5</v>
      </c>
      <c r="N43" s="23">
        <f t="shared" si="3"/>
        <v>118</v>
      </c>
      <c r="O43" s="23">
        <v>0</v>
      </c>
      <c r="P43" s="22">
        <f t="shared" si="6"/>
        <v>4</v>
      </c>
      <c r="Q43" s="22">
        <f t="shared" si="4"/>
        <v>118</v>
      </c>
      <c r="R43" s="20" t="s">
        <v>32</v>
      </c>
      <c r="S43" s="24">
        <f t="shared" si="11"/>
        <v>29.5</v>
      </c>
    </row>
    <row r="44" spans="2:19" s="25" customFormat="1" ht="20.25" x14ac:dyDescent="0.3">
      <c r="B44" s="16">
        <f t="shared" si="7"/>
        <v>36</v>
      </c>
      <c r="C44" s="17">
        <v>43609</v>
      </c>
      <c r="D44" s="17">
        <v>43612</v>
      </c>
      <c r="E44" s="18" t="s">
        <v>85</v>
      </c>
      <c r="F44" s="18" t="s">
        <v>86</v>
      </c>
      <c r="G44" s="19">
        <v>2</v>
      </c>
      <c r="H44" s="19">
        <f t="shared" si="0"/>
        <v>472</v>
      </c>
      <c r="I44" s="20" t="s">
        <v>84</v>
      </c>
      <c r="J44" s="21">
        <v>2</v>
      </c>
      <c r="K44" s="22">
        <v>200</v>
      </c>
      <c r="L44" s="22">
        <f t="shared" si="9"/>
        <v>36</v>
      </c>
      <c r="M44" s="22">
        <f t="shared" si="10"/>
        <v>236</v>
      </c>
      <c r="N44" s="23">
        <f t="shared" si="3"/>
        <v>472</v>
      </c>
      <c r="O44" s="23">
        <v>1</v>
      </c>
      <c r="P44" s="22">
        <v>2</v>
      </c>
      <c r="Q44" s="22">
        <f t="shared" si="4"/>
        <v>472</v>
      </c>
      <c r="R44" s="20" t="s">
        <v>25</v>
      </c>
      <c r="S44" s="24">
        <f t="shared" si="11"/>
        <v>236</v>
      </c>
    </row>
    <row r="45" spans="2:19" s="25" customFormat="1" ht="20.25" x14ac:dyDescent="0.3">
      <c r="B45" s="16">
        <f t="shared" si="7"/>
        <v>37</v>
      </c>
      <c r="C45" s="17">
        <v>43252</v>
      </c>
      <c r="D45" s="17">
        <v>43255</v>
      </c>
      <c r="E45" s="18" t="s">
        <v>85</v>
      </c>
      <c r="F45" s="18" t="s">
        <v>86</v>
      </c>
      <c r="G45" s="19">
        <f>$J45-$O45</f>
        <v>4</v>
      </c>
      <c r="H45" s="19">
        <f t="shared" si="0"/>
        <v>269.04000000000002</v>
      </c>
      <c r="I45" s="20" t="s">
        <v>84</v>
      </c>
      <c r="J45" s="21">
        <v>4</v>
      </c>
      <c r="K45" s="22">
        <v>57</v>
      </c>
      <c r="L45" s="22">
        <f t="shared" si="9"/>
        <v>10.26</v>
      </c>
      <c r="M45" s="22">
        <f t="shared" si="10"/>
        <v>67.260000000000005</v>
      </c>
      <c r="N45" s="23">
        <f t="shared" si="3"/>
        <v>269.04000000000002</v>
      </c>
      <c r="O45" s="23">
        <v>0</v>
      </c>
      <c r="P45" s="22">
        <f>$J45-$O45</f>
        <v>4</v>
      </c>
      <c r="Q45" s="22">
        <f t="shared" si="4"/>
        <v>269.04000000000002</v>
      </c>
      <c r="R45" s="20" t="s">
        <v>32</v>
      </c>
      <c r="S45" s="24">
        <f t="shared" si="11"/>
        <v>67.260000000000005</v>
      </c>
    </row>
    <row r="46" spans="2:19" s="25" customFormat="1" ht="20.25" x14ac:dyDescent="0.3">
      <c r="B46" s="16">
        <f t="shared" si="7"/>
        <v>38</v>
      </c>
      <c r="C46" s="17">
        <v>43609</v>
      </c>
      <c r="D46" s="17">
        <v>43612</v>
      </c>
      <c r="E46" s="18" t="s">
        <v>87</v>
      </c>
      <c r="F46" s="18" t="s">
        <v>88</v>
      </c>
      <c r="G46" s="19">
        <v>2</v>
      </c>
      <c r="H46" s="19">
        <f t="shared" si="0"/>
        <v>708</v>
      </c>
      <c r="I46" s="20" t="s">
        <v>84</v>
      </c>
      <c r="J46" s="21">
        <v>2</v>
      </c>
      <c r="K46" s="22">
        <v>300</v>
      </c>
      <c r="L46" s="22">
        <f t="shared" si="9"/>
        <v>54</v>
      </c>
      <c r="M46" s="22">
        <f t="shared" si="10"/>
        <v>354</v>
      </c>
      <c r="N46" s="23">
        <f t="shared" si="3"/>
        <v>708</v>
      </c>
      <c r="O46" s="23">
        <f>2+1</f>
        <v>3</v>
      </c>
      <c r="P46" s="22">
        <v>2</v>
      </c>
      <c r="Q46" s="22">
        <f t="shared" si="4"/>
        <v>708</v>
      </c>
      <c r="R46" s="20" t="s">
        <v>25</v>
      </c>
      <c r="S46" s="24">
        <f t="shared" si="11"/>
        <v>354</v>
      </c>
    </row>
    <row r="47" spans="2:19" s="25" customFormat="1" ht="20.25" x14ac:dyDescent="0.3">
      <c r="B47" s="16">
        <f t="shared" si="7"/>
        <v>39</v>
      </c>
      <c r="C47" s="17">
        <v>43609</v>
      </c>
      <c r="D47" s="17">
        <v>43612</v>
      </c>
      <c r="E47" s="18" t="s">
        <v>87</v>
      </c>
      <c r="F47" s="18" t="s">
        <v>88</v>
      </c>
      <c r="G47" s="19">
        <f t="shared" ref="G47:G110" si="12">$J47-$O47</f>
        <v>4</v>
      </c>
      <c r="H47" s="19">
        <f t="shared" si="0"/>
        <v>424.8</v>
      </c>
      <c r="I47" s="20" t="s">
        <v>84</v>
      </c>
      <c r="J47" s="21">
        <v>4</v>
      </c>
      <c r="K47" s="22">
        <v>90</v>
      </c>
      <c r="L47" s="22">
        <f t="shared" si="9"/>
        <v>16.2</v>
      </c>
      <c r="M47" s="22">
        <f t="shared" si="10"/>
        <v>106.2</v>
      </c>
      <c r="N47" s="23">
        <f t="shared" si="3"/>
        <v>424.8</v>
      </c>
      <c r="O47" s="23">
        <v>0</v>
      </c>
      <c r="P47" s="22">
        <f t="shared" ref="P47:P110" si="13">$J47-$O47</f>
        <v>4</v>
      </c>
      <c r="Q47" s="22">
        <f t="shared" si="4"/>
        <v>424.8</v>
      </c>
      <c r="R47" s="20" t="s">
        <v>32</v>
      </c>
      <c r="S47" s="24">
        <f t="shared" si="11"/>
        <v>106.2</v>
      </c>
    </row>
    <row r="48" spans="2:19" s="25" customFormat="1" ht="20.25" x14ac:dyDescent="0.3">
      <c r="B48" s="16">
        <f t="shared" si="7"/>
        <v>40</v>
      </c>
      <c r="C48" s="17">
        <v>44162</v>
      </c>
      <c r="D48" s="17">
        <v>44187</v>
      </c>
      <c r="E48" s="18" t="s">
        <v>89</v>
      </c>
      <c r="F48" s="18" t="s">
        <v>90</v>
      </c>
      <c r="G48" s="19">
        <f t="shared" si="12"/>
        <v>33</v>
      </c>
      <c r="H48" s="19">
        <f t="shared" si="0"/>
        <v>856.68000000000006</v>
      </c>
      <c r="I48" s="20" t="s">
        <v>84</v>
      </c>
      <c r="J48" s="21">
        <v>40</v>
      </c>
      <c r="K48" s="22">
        <v>22</v>
      </c>
      <c r="L48" s="22">
        <f t="shared" si="9"/>
        <v>3.96</v>
      </c>
      <c r="M48" s="22">
        <f t="shared" si="10"/>
        <v>25.96</v>
      </c>
      <c r="N48" s="23">
        <f t="shared" si="3"/>
        <v>1038.4000000000001</v>
      </c>
      <c r="O48" s="23">
        <f>3+3+1</f>
        <v>7</v>
      </c>
      <c r="P48" s="22">
        <f t="shared" si="13"/>
        <v>33</v>
      </c>
      <c r="Q48" s="22">
        <f t="shared" si="4"/>
        <v>856.68000000000006</v>
      </c>
      <c r="R48" s="20" t="s">
        <v>32</v>
      </c>
      <c r="S48" s="24">
        <f t="shared" si="11"/>
        <v>25.96</v>
      </c>
    </row>
    <row r="49" spans="2:20" s="25" customFormat="1" ht="20.25" x14ac:dyDescent="0.3">
      <c r="B49" s="16">
        <f t="shared" si="7"/>
        <v>41</v>
      </c>
      <c r="C49" s="17">
        <v>44162</v>
      </c>
      <c r="D49" s="17">
        <v>44187</v>
      </c>
      <c r="E49" s="18" t="s">
        <v>89</v>
      </c>
      <c r="F49" s="18" t="s">
        <v>91</v>
      </c>
      <c r="G49" s="19">
        <f t="shared" si="12"/>
        <v>20</v>
      </c>
      <c r="H49" s="19">
        <f t="shared" si="0"/>
        <v>1906.172</v>
      </c>
      <c r="I49" s="20" t="s">
        <v>84</v>
      </c>
      <c r="J49" s="21">
        <v>36</v>
      </c>
      <c r="K49" s="22">
        <v>80.77</v>
      </c>
      <c r="L49" s="22">
        <f t="shared" si="9"/>
        <v>14.538599999999999</v>
      </c>
      <c r="M49" s="22">
        <f t="shared" si="10"/>
        <v>95.308599999999998</v>
      </c>
      <c r="N49" s="23">
        <f t="shared" si="3"/>
        <v>3431.1095999999998</v>
      </c>
      <c r="O49" s="23">
        <f>12+1+3</f>
        <v>16</v>
      </c>
      <c r="P49" s="22">
        <f t="shared" si="13"/>
        <v>20</v>
      </c>
      <c r="Q49" s="22">
        <f t="shared" si="4"/>
        <v>1906.172</v>
      </c>
      <c r="R49" s="20"/>
      <c r="S49" s="24">
        <f t="shared" si="11"/>
        <v>95.308599999999998</v>
      </c>
    </row>
    <row r="50" spans="2:20" s="25" customFormat="1" ht="20.25" x14ac:dyDescent="0.3">
      <c r="B50" s="16">
        <f t="shared" si="7"/>
        <v>42</v>
      </c>
      <c r="C50" s="17">
        <v>44162</v>
      </c>
      <c r="D50" s="17">
        <v>44187</v>
      </c>
      <c r="E50" s="18" t="s">
        <v>89</v>
      </c>
      <c r="F50" s="18" t="s">
        <v>91</v>
      </c>
      <c r="G50" s="19">
        <f t="shared" si="12"/>
        <v>10</v>
      </c>
      <c r="H50" s="19">
        <f t="shared" si="0"/>
        <v>2124</v>
      </c>
      <c r="I50" s="20" t="s">
        <v>84</v>
      </c>
      <c r="J50" s="21">
        <v>10</v>
      </c>
      <c r="K50" s="22">
        <v>180</v>
      </c>
      <c r="L50" s="22">
        <f t="shared" si="9"/>
        <v>32.4</v>
      </c>
      <c r="M50" s="22">
        <f t="shared" si="10"/>
        <v>212.4</v>
      </c>
      <c r="N50" s="23">
        <f t="shared" si="3"/>
        <v>2124</v>
      </c>
      <c r="O50" s="23">
        <v>0</v>
      </c>
      <c r="P50" s="22">
        <f t="shared" si="13"/>
        <v>10</v>
      </c>
      <c r="Q50" s="22">
        <f t="shared" si="4"/>
        <v>2124</v>
      </c>
      <c r="R50" s="20" t="s">
        <v>25</v>
      </c>
      <c r="S50" s="24">
        <f t="shared" si="11"/>
        <v>212.4</v>
      </c>
    </row>
    <row r="51" spans="2:20" s="25" customFormat="1" ht="20.25" x14ac:dyDescent="0.3">
      <c r="B51" s="16">
        <f t="shared" si="7"/>
        <v>43</v>
      </c>
      <c r="C51" s="17">
        <v>44162</v>
      </c>
      <c r="D51" s="17">
        <v>44187</v>
      </c>
      <c r="E51" s="18" t="s">
        <v>92</v>
      </c>
      <c r="F51" s="18" t="s">
        <v>93</v>
      </c>
      <c r="G51" s="19">
        <f t="shared" si="12"/>
        <v>39</v>
      </c>
      <c r="H51" s="19">
        <f t="shared" si="0"/>
        <v>506.22</v>
      </c>
      <c r="I51" s="20" t="s">
        <v>84</v>
      </c>
      <c r="J51" s="21">
        <v>40</v>
      </c>
      <c r="K51" s="22">
        <v>11</v>
      </c>
      <c r="L51" s="22">
        <f t="shared" si="9"/>
        <v>1.98</v>
      </c>
      <c r="M51" s="22">
        <f t="shared" si="10"/>
        <v>12.98</v>
      </c>
      <c r="N51" s="23">
        <f t="shared" si="3"/>
        <v>519.20000000000005</v>
      </c>
      <c r="O51" s="23">
        <v>1</v>
      </c>
      <c r="P51" s="22">
        <f t="shared" si="13"/>
        <v>39</v>
      </c>
      <c r="Q51" s="22">
        <f t="shared" si="4"/>
        <v>506.22</v>
      </c>
      <c r="R51" s="20" t="s">
        <v>32</v>
      </c>
      <c r="S51" s="24">
        <f t="shared" si="11"/>
        <v>12.98</v>
      </c>
    </row>
    <row r="52" spans="2:20" s="25" customFormat="1" ht="20.25" x14ac:dyDescent="0.3">
      <c r="B52" s="16">
        <f t="shared" si="7"/>
        <v>44</v>
      </c>
      <c r="C52" s="17">
        <v>44162</v>
      </c>
      <c r="D52" s="17">
        <v>44187</v>
      </c>
      <c r="E52" s="18" t="s">
        <v>92</v>
      </c>
      <c r="F52" s="18" t="s">
        <v>94</v>
      </c>
      <c r="G52" s="19">
        <f t="shared" si="12"/>
        <v>11</v>
      </c>
      <c r="H52" s="19">
        <f t="shared" si="0"/>
        <v>1687.4</v>
      </c>
      <c r="I52" s="20" t="s">
        <v>84</v>
      </c>
      <c r="J52" s="21">
        <v>20</v>
      </c>
      <c r="K52" s="22">
        <v>130</v>
      </c>
      <c r="L52" s="22">
        <f t="shared" si="9"/>
        <v>23.4</v>
      </c>
      <c r="M52" s="22">
        <f t="shared" si="10"/>
        <v>153.4</v>
      </c>
      <c r="N52" s="23">
        <f t="shared" si="3"/>
        <v>3068</v>
      </c>
      <c r="O52" s="23">
        <f>4+1+1+3</f>
        <v>9</v>
      </c>
      <c r="P52" s="22">
        <f t="shared" si="13"/>
        <v>11</v>
      </c>
      <c r="Q52" s="22">
        <f t="shared" si="4"/>
        <v>1687.4</v>
      </c>
      <c r="R52" s="20" t="s">
        <v>25</v>
      </c>
      <c r="S52" s="24">
        <f t="shared" si="11"/>
        <v>153.4</v>
      </c>
    </row>
    <row r="53" spans="2:20" s="25" customFormat="1" ht="20.25" x14ac:dyDescent="0.3">
      <c r="B53" s="16">
        <f t="shared" si="7"/>
        <v>45</v>
      </c>
      <c r="C53" s="17" t="s">
        <v>28</v>
      </c>
      <c r="D53" s="17" t="s">
        <v>29</v>
      </c>
      <c r="E53" s="18" t="s">
        <v>95</v>
      </c>
      <c r="F53" s="18" t="s">
        <v>96</v>
      </c>
      <c r="G53" s="19">
        <f t="shared" si="12"/>
        <v>1</v>
      </c>
      <c r="H53" s="19">
        <f t="shared" si="0"/>
        <v>2924.04</v>
      </c>
      <c r="I53" s="20" t="s">
        <v>22</v>
      </c>
      <c r="J53" s="21">
        <v>2</v>
      </c>
      <c r="K53" s="22">
        <v>2478</v>
      </c>
      <c r="L53" s="22">
        <f t="shared" si="9"/>
        <v>446.03999999999996</v>
      </c>
      <c r="M53" s="22">
        <f t="shared" si="10"/>
        <v>2924.04</v>
      </c>
      <c r="N53" s="23">
        <f t="shared" si="3"/>
        <v>5848.08</v>
      </c>
      <c r="O53" s="23">
        <v>1</v>
      </c>
      <c r="P53" s="22">
        <f t="shared" si="13"/>
        <v>1</v>
      </c>
      <c r="Q53" s="22">
        <f t="shared" si="4"/>
        <v>2924.04</v>
      </c>
      <c r="R53" s="20"/>
      <c r="S53" s="24">
        <f t="shared" si="11"/>
        <v>2924.04</v>
      </c>
    </row>
    <row r="54" spans="2:20" s="25" customFormat="1" ht="20.25" x14ac:dyDescent="0.3">
      <c r="B54" s="16">
        <f t="shared" si="7"/>
        <v>46</v>
      </c>
      <c r="C54" s="17">
        <v>43252</v>
      </c>
      <c r="D54" s="17">
        <v>43256</v>
      </c>
      <c r="E54" s="18" t="s">
        <v>97</v>
      </c>
      <c r="F54" s="18" t="s">
        <v>98</v>
      </c>
      <c r="G54" s="19">
        <f t="shared" si="12"/>
        <v>10</v>
      </c>
      <c r="H54" s="19">
        <f t="shared" si="0"/>
        <v>177</v>
      </c>
      <c r="I54" s="20" t="s">
        <v>22</v>
      </c>
      <c r="J54" s="21">
        <v>20</v>
      </c>
      <c r="K54" s="22">
        <v>15</v>
      </c>
      <c r="L54" s="22">
        <f t="shared" si="9"/>
        <v>2.6999999999999997</v>
      </c>
      <c r="M54" s="22">
        <f t="shared" si="10"/>
        <v>17.7</v>
      </c>
      <c r="N54" s="23">
        <f t="shared" si="3"/>
        <v>354</v>
      </c>
      <c r="O54" s="23">
        <f>5+1+1+3</f>
        <v>10</v>
      </c>
      <c r="P54" s="22">
        <f t="shared" si="13"/>
        <v>10</v>
      </c>
      <c r="Q54" s="22">
        <f t="shared" si="4"/>
        <v>177</v>
      </c>
      <c r="R54" s="20" t="s">
        <v>32</v>
      </c>
      <c r="S54" s="24">
        <f t="shared" si="11"/>
        <v>17.7</v>
      </c>
    </row>
    <row r="55" spans="2:20" s="25" customFormat="1" ht="20.25" x14ac:dyDescent="0.3">
      <c r="B55" s="16">
        <f t="shared" si="7"/>
        <v>47</v>
      </c>
      <c r="C55" s="17">
        <v>43609</v>
      </c>
      <c r="D55" s="17">
        <v>43612</v>
      </c>
      <c r="E55" s="18" t="s">
        <v>99</v>
      </c>
      <c r="F55" s="18" t="s">
        <v>100</v>
      </c>
      <c r="G55" s="19">
        <f t="shared" si="12"/>
        <v>24</v>
      </c>
      <c r="H55" s="19">
        <f t="shared" si="0"/>
        <v>5664</v>
      </c>
      <c r="I55" s="20" t="s">
        <v>22</v>
      </c>
      <c r="J55" s="21">
        <v>30</v>
      </c>
      <c r="K55" s="22">
        <v>200</v>
      </c>
      <c r="L55" s="22">
        <f t="shared" si="9"/>
        <v>36</v>
      </c>
      <c r="M55" s="22">
        <f t="shared" si="10"/>
        <v>236</v>
      </c>
      <c r="N55" s="23">
        <f t="shared" si="3"/>
        <v>7080</v>
      </c>
      <c r="O55" s="23">
        <v>6</v>
      </c>
      <c r="P55" s="22">
        <f t="shared" si="13"/>
        <v>24</v>
      </c>
      <c r="Q55" s="22">
        <f t="shared" si="4"/>
        <v>5664</v>
      </c>
      <c r="R55" s="20" t="s">
        <v>25</v>
      </c>
      <c r="S55" s="24">
        <f t="shared" si="11"/>
        <v>236</v>
      </c>
    </row>
    <row r="56" spans="2:20" s="25" customFormat="1" ht="20.25" x14ac:dyDescent="0.3">
      <c r="B56" s="16">
        <f t="shared" si="7"/>
        <v>48</v>
      </c>
      <c r="C56" s="17">
        <v>43830</v>
      </c>
      <c r="D56" s="17">
        <v>43858</v>
      </c>
      <c r="E56" s="18" t="s">
        <v>101</v>
      </c>
      <c r="F56" s="18" t="s">
        <v>102</v>
      </c>
      <c r="G56" s="19">
        <f t="shared" si="12"/>
        <v>1</v>
      </c>
      <c r="H56" s="19">
        <f t="shared" si="0"/>
        <v>10500</v>
      </c>
      <c r="I56" s="20" t="s">
        <v>22</v>
      </c>
      <c r="J56" s="21">
        <v>1</v>
      </c>
      <c r="K56" s="22">
        <f>10500</f>
        <v>10500</v>
      </c>
      <c r="L56" s="22">
        <v>0</v>
      </c>
      <c r="M56" s="22">
        <f t="shared" si="10"/>
        <v>10500</v>
      </c>
      <c r="N56" s="23">
        <f t="shared" si="3"/>
        <v>10500</v>
      </c>
      <c r="O56" s="23">
        <v>0</v>
      </c>
      <c r="P56" s="22">
        <f t="shared" si="13"/>
        <v>1</v>
      </c>
      <c r="Q56" s="22">
        <f t="shared" si="4"/>
        <v>10500</v>
      </c>
      <c r="R56" s="20" t="s">
        <v>54</v>
      </c>
      <c r="S56" s="24">
        <f t="shared" si="11"/>
        <v>10500</v>
      </c>
    </row>
    <row r="57" spans="2:20" s="25" customFormat="1" ht="20.25" x14ac:dyDescent="0.3">
      <c r="B57" s="16">
        <f t="shared" si="7"/>
        <v>49</v>
      </c>
      <c r="C57" s="17">
        <v>43830</v>
      </c>
      <c r="D57" s="17">
        <v>43859</v>
      </c>
      <c r="E57" s="18" t="s">
        <v>103</v>
      </c>
      <c r="F57" s="27" t="s">
        <v>104</v>
      </c>
      <c r="G57" s="19">
        <f t="shared" si="12"/>
        <v>147</v>
      </c>
      <c r="H57" s="19">
        <f t="shared" si="0"/>
        <v>1014.3000000000001</v>
      </c>
      <c r="I57" s="20" t="s">
        <v>105</v>
      </c>
      <c r="J57" s="21">
        <v>200</v>
      </c>
      <c r="K57" s="22">
        <f>6.9</f>
        <v>6.9</v>
      </c>
      <c r="L57" s="22">
        <v>0</v>
      </c>
      <c r="M57" s="22">
        <f>+K57</f>
        <v>6.9</v>
      </c>
      <c r="N57" s="23">
        <f t="shared" si="3"/>
        <v>1380</v>
      </c>
      <c r="O57" s="23">
        <f>10+10+19+1+1+2+2+2+2+2+2</f>
        <v>53</v>
      </c>
      <c r="P57" s="22">
        <f t="shared" si="13"/>
        <v>147</v>
      </c>
      <c r="Q57" s="22">
        <f t="shared" si="4"/>
        <v>1014.3000000000001</v>
      </c>
      <c r="R57" s="20" t="s">
        <v>54</v>
      </c>
      <c r="S57" s="24">
        <f t="shared" si="11"/>
        <v>6.9</v>
      </c>
    </row>
    <row r="58" spans="2:20" s="25" customFormat="1" ht="20.25" x14ac:dyDescent="0.3">
      <c r="B58" s="16">
        <f t="shared" si="7"/>
        <v>50</v>
      </c>
      <c r="C58" s="17">
        <v>43830</v>
      </c>
      <c r="D58" s="17">
        <v>43859</v>
      </c>
      <c r="E58" s="18" t="s">
        <v>106</v>
      </c>
      <c r="F58" s="27" t="s">
        <v>107</v>
      </c>
      <c r="G58" s="19">
        <f t="shared" si="12"/>
        <v>189</v>
      </c>
      <c r="H58" s="19">
        <f t="shared" si="0"/>
        <v>1682.1000000000001</v>
      </c>
      <c r="I58" s="20" t="s">
        <v>105</v>
      </c>
      <c r="J58" s="21">
        <v>200</v>
      </c>
      <c r="K58" s="22">
        <f>8.9</f>
        <v>8.9</v>
      </c>
      <c r="L58" s="22">
        <v>0</v>
      </c>
      <c r="M58" s="22">
        <f>+K58</f>
        <v>8.9</v>
      </c>
      <c r="N58" s="23">
        <f t="shared" si="3"/>
        <v>1780</v>
      </c>
      <c r="O58" s="23">
        <f>5+3+1+2</f>
        <v>11</v>
      </c>
      <c r="P58" s="22">
        <f t="shared" si="13"/>
        <v>189</v>
      </c>
      <c r="Q58" s="22">
        <f t="shared" si="4"/>
        <v>1682.1000000000001</v>
      </c>
      <c r="R58" s="20" t="s">
        <v>54</v>
      </c>
      <c r="S58" s="24">
        <f t="shared" si="11"/>
        <v>8.9</v>
      </c>
    </row>
    <row r="59" spans="2:20" s="25" customFormat="1" ht="20.25" x14ac:dyDescent="0.3">
      <c r="B59" s="16">
        <f t="shared" si="7"/>
        <v>51</v>
      </c>
      <c r="C59" s="17">
        <v>43609</v>
      </c>
      <c r="D59" s="17">
        <v>43612</v>
      </c>
      <c r="E59" s="18" t="s">
        <v>108</v>
      </c>
      <c r="F59" s="18" t="s">
        <v>109</v>
      </c>
      <c r="G59" s="19">
        <f t="shared" si="12"/>
        <v>7</v>
      </c>
      <c r="H59" s="19">
        <f>$K59*G59</f>
        <v>1458.3309999999999</v>
      </c>
      <c r="I59" s="20" t="s">
        <v>22</v>
      </c>
      <c r="J59" s="21">
        <f>6*12</f>
        <v>72</v>
      </c>
      <c r="K59" s="22">
        <v>208.333</v>
      </c>
      <c r="L59" s="22">
        <v>0</v>
      </c>
      <c r="M59" s="22">
        <v>208.33</v>
      </c>
      <c r="N59" s="23">
        <f t="shared" si="3"/>
        <v>14999.76</v>
      </c>
      <c r="O59" s="23">
        <f>50+12+1+2</f>
        <v>65</v>
      </c>
      <c r="P59" s="22">
        <f t="shared" si="13"/>
        <v>7</v>
      </c>
      <c r="Q59" s="22">
        <f>$K59*P59</f>
        <v>1458.3309999999999</v>
      </c>
      <c r="R59" s="20" t="s">
        <v>25</v>
      </c>
      <c r="S59" s="24">
        <f t="shared" si="11"/>
        <v>208.333</v>
      </c>
    </row>
    <row r="60" spans="2:20" s="25" customFormat="1" ht="20.25" x14ac:dyDescent="0.3">
      <c r="B60" s="16">
        <f t="shared" si="7"/>
        <v>52</v>
      </c>
      <c r="C60" s="17">
        <v>43207</v>
      </c>
      <c r="D60" s="17">
        <v>43208</v>
      </c>
      <c r="E60" s="18" t="s">
        <v>110</v>
      </c>
      <c r="F60" s="18" t="s">
        <v>111</v>
      </c>
      <c r="G60" s="19">
        <f t="shared" si="12"/>
        <v>131</v>
      </c>
      <c r="H60" s="19">
        <f>$P60*$M60</f>
        <v>1637.5</v>
      </c>
      <c r="I60" s="20" t="s">
        <v>22</v>
      </c>
      <c r="J60" s="21">
        <v>132</v>
      </c>
      <c r="K60" s="22">
        <v>12.5</v>
      </c>
      <c r="L60" s="22">
        <v>0</v>
      </c>
      <c r="M60" s="22">
        <f>+K60+L60</f>
        <v>12.5</v>
      </c>
      <c r="N60" s="23">
        <f t="shared" si="3"/>
        <v>1650</v>
      </c>
      <c r="O60" s="23">
        <v>1</v>
      </c>
      <c r="P60" s="22">
        <f t="shared" si="13"/>
        <v>131</v>
      </c>
      <c r="Q60" s="22">
        <f>$P60*$M60</f>
        <v>1637.5</v>
      </c>
      <c r="R60" s="20" t="s">
        <v>32</v>
      </c>
      <c r="S60" s="24"/>
    </row>
    <row r="61" spans="2:20" s="25" customFormat="1" ht="20.25" x14ac:dyDescent="0.3">
      <c r="B61" s="16">
        <f t="shared" si="7"/>
        <v>53</v>
      </c>
      <c r="C61" s="17" t="s">
        <v>28</v>
      </c>
      <c r="D61" s="17" t="s">
        <v>29</v>
      </c>
      <c r="E61" s="18" t="s">
        <v>108</v>
      </c>
      <c r="F61" s="18" t="s">
        <v>112</v>
      </c>
      <c r="G61" s="19">
        <f t="shared" si="12"/>
        <v>36</v>
      </c>
      <c r="H61" s="19">
        <f>$P61*$M61</f>
        <v>2973.6</v>
      </c>
      <c r="I61" s="20" t="s">
        <v>22</v>
      </c>
      <c r="J61" s="21">
        <f>57</f>
        <v>57</v>
      </c>
      <c r="K61" s="22">
        <v>70</v>
      </c>
      <c r="L61" s="22">
        <f>+K61*18%</f>
        <v>12.6</v>
      </c>
      <c r="M61" s="22">
        <f>+K61+L61</f>
        <v>82.6</v>
      </c>
      <c r="N61" s="23">
        <f t="shared" si="3"/>
        <v>4708.2</v>
      </c>
      <c r="O61" s="23">
        <f>16+1+1+2+1</f>
        <v>21</v>
      </c>
      <c r="P61" s="22">
        <f t="shared" si="13"/>
        <v>36</v>
      </c>
      <c r="Q61" s="22">
        <f>$P61*$M61</f>
        <v>2973.6</v>
      </c>
      <c r="S61" s="24">
        <f t="shared" ref="S61:S66" si="14">Q61/P61</f>
        <v>82.6</v>
      </c>
    </row>
    <row r="62" spans="2:20" s="25" customFormat="1" ht="20.25" x14ac:dyDescent="0.3">
      <c r="B62" s="16">
        <f t="shared" si="7"/>
        <v>54</v>
      </c>
      <c r="C62" s="17">
        <v>43252</v>
      </c>
      <c r="D62" s="17">
        <v>43253</v>
      </c>
      <c r="E62" s="18" t="s">
        <v>108</v>
      </c>
      <c r="F62" s="18" t="s">
        <v>113</v>
      </c>
      <c r="G62" s="19">
        <f t="shared" si="12"/>
        <v>20</v>
      </c>
      <c r="H62" s="19">
        <v>5000</v>
      </c>
      <c r="I62" s="20" t="s">
        <v>22</v>
      </c>
      <c r="J62" s="21">
        <v>24</v>
      </c>
      <c r="K62" s="22">
        <v>208.33</v>
      </c>
      <c r="L62" s="22">
        <v>0</v>
      </c>
      <c r="M62" s="22">
        <v>0</v>
      </c>
      <c r="N62" s="23">
        <v>5000</v>
      </c>
      <c r="O62" s="23">
        <v>4</v>
      </c>
      <c r="P62" s="22">
        <f t="shared" si="13"/>
        <v>20</v>
      </c>
      <c r="Q62" s="22">
        <v>5000</v>
      </c>
      <c r="R62" s="20" t="s">
        <v>25</v>
      </c>
      <c r="S62" s="24">
        <f t="shared" si="14"/>
        <v>250</v>
      </c>
    </row>
    <row r="63" spans="2:20" s="25" customFormat="1" ht="20.25" x14ac:dyDescent="0.3">
      <c r="B63" s="16">
        <f t="shared" si="7"/>
        <v>55</v>
      </c>
      <c r="C63" s="17">
        <v>43609</v>
      </c>
      <c r="D63" s="17">
        <v>43612</v>
      </c>
      <c r="E63" s="18" t="s">
        <v>110</v>
      </c>
      <c r="F63" s="18" t="s">
        <v>113</v>
      </c>
      <c r="G63" s="19">
        <f t="shared" si="12"/>
        <v>14</v>
      </c>
      <c r="H63" s="19">
        <f t="shared" ref="H63:H88" si="15">$P63*$M63</f>
        <v>1156.3999999999999</v>
      </c>
      <c r="I63" s="20" t="s">
        <v>22</v>
      </c>
      <c r="J63" s="21">
        <f>12+2</f>
        <v>14</v>
      </c>
      <c r="K63" s="22">
        <v>70</v>
      </c>
      <c r="L63" s="22">
        <f>+K63*18%</f>
        <v>12.6</v>
      </c>
      <c r="M63" s="22">
        <f>+K63+L63</f>
        <v>82.6</v>
      </c>
      <c r="N63" s="23">
        <f t="shared" ref="N63:N88" si="16">$J63*$M63</f>
        <v>1156.3999999999999</v>
      </c>
      <c r="O63" s="23">
        <v>0</v>
      </c>
      <c r="P63" s="22">
        <f t="shared" si="13"/>
        <v>14</v>
      </c>
      <c r="Q63" s="22">
        <f t="shared" ref="Q63:Q88" si="17">$P63*$M63</f>
        <v>1156.3999999999999</v>
      </c>
      <c r="R63" s="20"/>
      <c r="S63" s="24">
        <f t="shared" si="14"/>
        <v>82.6</v>
      </c>
    </row>
    <row r="64" spans="2:20" s="25" customFormat="1" ht="20.25" x14ac:dyDescent="0.3">
      <c r="B64" s="16">
        <f t="shared" si="7"/>
        <v>56</v>
      </c>
      <c r="C64" s="17">
        <v>43657</v>
      </c>
      <c r="D64" s="17">
        <v>43677</v>
      </c>
      <c r="E64" s="18" t="s">
        <v>114</v>
      </c>
      <c r="F64" s="18" t="s">
        <v>115</v>
      </c>
      <c r="G64" s="19">
        <f t="shared" si="12"/>
        <v>449</v>
      </c>
      <c r="H64" s="19">
        <f t="shared" si="15"/>
        <v>1571.5</v>
      </c>
      <c r="I64" s="20" t="s">
        <v>116</v>
      </c>
      <c r="J64" s="21">
        <v>500</v>
      </c>
      <c r="K64" s="22">
        <f>3.5</f>
        <v>3.5</v>
      </c>
      <c r="L64" s="22">
        <v>0</v>
      </c>
      <c r="M64" s="22">
        <f>+K64</f>
        <v>3.5</v>
      </c>
      <c r="N64" s="23">
        <f t="shared" si="16"/>
        <v>1750</v>
      </c>
      <c r="O64" s="23">
        <f>2+1+43+5</f>
        <v>51</v>
      </c>
      <c r="P64" s="22">
        <f t="shared" si="13"/>
        <v>449</v>
      </c>
      <c r="Q64" s="22">
        <f t="shared" si="17"/>
        <v>1571.5</v>
      </c>
      <c r="R64" s="20" t="s">
        <v>54</v>
      </c>
      <c r="S64" s="24">
        <f t="shared" si="14"/>
        <v>3.5</v>
      </c>
      <c r="T64" s="29"/>
    </row>
    <row r="65" spans="2:20" s="25" customFormat="1" ht="20.25" x14ac:dyDescent="0.3">
      <c r="B65" s="16">
        <f t="shared" si="7"/>
        <v>57</v>
      </c>
      <c r="C65" s="17">
        <v>43252</v>
      </c>
      <c r="D65" s="17">
        <v>43253</v>
      </c>
      <c r="E65" s="18" t="s">
        <v>114</v>
      </c>
      <c r="F65" s="18" t="s">
        <v>117</v>
      </c>
      <c r="G65" s="19">
        <f t="shared" si="12"/>
        <v>478</v>
      </c>
      <c r="H65" s="19">
        <f t="shared" si="15"/>
        <v>1974.1399999999999</v>
      </c>
      <c r="I65" s="20" t="s">
        <v>22</v>
      </c>
      <c r="J65" s="21">
        <v>500</v>
      </c>
      <c r="K65" s="22">
        <v>3.5</v>
      </c>
      <c r="L65" s="22">
        <f t="shared" ref="L65:L74" si="18">+K65*18%</f>
        <v>0.63</v>
      </c>
      <c r="M65" s="22">
        <f t="shared" ref="M65:M74" si="19">+K65+L65</f>
        <v>4.13</v>
      </c>
      <c r="N65" s="23">
        <f t="shared" si="16"/>
        <v>2065</v>
      </c>
      <c r="O65" s="23">
        <f>15+1+6</f>
        <v>22</v>
      </c>
      <c r="P65" s="22">
        <f t="shared" si="13"/>
        <v>478</v>
      </c>
      <c r="Q65" s="22">
        <f t="shared" si="17"/>
        <v>1974.1399999999999</v>
      </c>
      <c r="R65" s="20" t="s">
        <v>54</v>
      </c>
      <c r="S65" s="24">
        <f t="shared" si="14"/>
        <v>4.13</v>
      </c>
      <c r="T65" s="29"/>
    </row>
    <row r="66" spans="2:20" s="25" customFormat="1" ht="20.25" x14ac:dyDescent="0.3">
      <c r="B66" s="16">
        <f t="shared" si="7"/>
        <v>58</v>
      </c>
      <c r="C66" s="17">
        <v>43609</v>
      </c>
      <c r="D66" s="17">
        <v>43612</v>
      </c>
      <c r="E66" s="18" t="s">
        <v>114</v>
      </c>
      <c r="F66" s="18" t="s">
        <v>118</v>
      </c>
      <c r="G66" s="19">
        <f t="shared" si="12"/>
        <v>800</v>
      </c>
      <c r="H66" s="19">
        <f t="shared" si="15"/>
        <v>1982.4</v>
      </c>
      <c r="I66" s="20" t="s">
        <v>22</v>
      </c>
      <c r="J66" s="21">
        <v>800</v>
      </c>
      <c r="K66" s="22">
        <v>2.1</v>
      </c>
      <c r="L66" s="22">
        <f t="shared" si="18"/>
        <v>0.378</v>
      </c>
      <c r="M66" s="22">
        <f t="shared" si="19"/>
        <v>2.4780000000000002</v>
      </c>
      <c r="N66" s="23">
        <f t="shared" si="16"/>
        <v>1982.4</v>
      </c>
      <c r="O66" s="23"/>
      <c r="P66" s="22">
        <f t="shared" si="13"/>
        <v>800</v>
      </c>
      <c r="Q66" s="22">
        <f t="shared" si="17"/>
        <v>1982.4</v>
      </c>
      <c r="R66" s="20" t="s">
        <v>32</v>
      </c>
      <c r="S66" s="24">
        <f t="shared" si="14"/>
        <v>2.4780000000000002</v>
      </c>
      <c r="T66" s="29"/>
    </row>
    <row r="67" spans="2:20" s="25" customFormat="1" ht="20.25" x14ac:dyDescent="0.3">
      <c r="B67" s="16">
        <f t="shared" si="7"/>
        <v>59</v>
      </c>
      <c r="C67" s="17">
        <v>43207</v>
      </c>
      <c r="D67" s="17">
        <v>43208</v>
      </c>
      <c r="E67" s="18" t="s">
        <v>114</v>
      </c>
      <c r="F67" s="18" t="s">
        <v>119</v>
      </c>
      <c r="G67" s="19">
        <f t="shared" si="12"/>
        <v>153</v>
      </c>
      <c r="H67" s="19">
        <f t="shared" si="15"/>
        <v>1083.24</v>
      </c>
      <c r="I67" s="20" t="s">
        <v>22</v>
      </c>
      <c r="J67" s="21">
        <v>200</v>
      </c>
      <c r="K67" s="22">
        <v>6</v>
      </c>
      <c r="L67" s="22">
        <f t="shared" si="18"/>
        <v>1.08</v>
      </c>
      <c r="M67" s="22">
        <f t="shared" si="19"/>
        <v>7.08</v>
      </c>
      <c r="N67" s="23">
        <f t="shared" si="16"/>
        <v>1416</v>
      </c>
      <c r="O67" s="23">
        <f>25+12+5+5</f>
        <v>47</v>
      </c>
      <c r="P67" s="22">
        <f t="shared" si="13"/>
        <v>153</v>
      </c>
      <c r="Q67" s="22">
        <f t="shared" si="17"/>
        <v>1083.24</v>
      </c>
      <c r="R67" s="20" t="s">
        <v>32</v>
      </c>
      <c r="S67" s="24"/>
      <c r="T67" s="29"/>
    </row>
    <row r="68" spans="2:20" s="25" customFormat="1" ht="20.25" x14ac:dyDescent="0.3">
      <c r="B68" s="16">
        <f t="shared" si="7"/>
        <v>60</v>
      </c>
      <c r="C68" s="17">
        <v>43252</v>
      </c>
      <c r="D68" s="17">
        <v>43253</v>
      </c>
      <c r="E68" s="18" t="s">
        <v>120</v>
      </c>
      <c r="F68" s="18" t="s">
        <v>121</v>
      </c>
      <c r="G68" s="19">
        <f t="shared" si="12"/>
        <v>200</v>
      </c>
      <c r="H68" s="19">
        <f t="shared" si="15"/>
        <v>1416</v>
      </c>
      <c r="I68" s="20" t="s">
        <v>22</v>
      </c>
      <c r="J68" s="21">
        <v>200</v>
      </c>
      <c r="K68" s="22">
        <v>6</v>
      </c>
      <c r="L68" s="22">
        <f t="shared" si="18"/>
        <v>1.08</v>
      </c>
      <c r="M68" s="22">
        <f t="shared" si="19"/>
        <v>7.08</v>
      </c>
      <c r="N68" s="23">
        <f t="shared" si="16"/>
        <v>1416</v>
      </c>
      <c r="O68" s="23"/>
      <c r="P68" s="22">
        <f t="shared" si="13"/>
        <v>200</v>
      </c>
      <c r="Q68" s="22">
        <f t="shared" si="17"/>
        <v>1416</v>
      </c>
      <c r="R68" s="20" t="s">
        <v>32</v>
      </c>
      <c r="S68" s="24"/>
      <c r="T68" s="29"/>
    </row>
    <row r="69" spans="2:20" s="25" customFormat="1" ht="20.25" x14ac:dyDescent="0.3">
      <c r="B69" s="16">
        <f t="shared" si="7"/>
        <v>61</v>
      </c>
      <c r="C69" s="17" t="s">
        <v>28</v>
      </c>
      <c r="D69" s="17" t="s">
        <v>29</v>
      </c>
      <c r="E69" s="18" t="s">
        <v>122</v>
      </c>
      <c r="F69" s="18" t="s">
        <v>123</v>
      </c>
      <c r="G69" s="19">
        <f t="shared" si="12"/>
        <v>196</v>
      </c>
      <c r="H69" s="19">
        <f t="shared" si="15"/>
        <v>1387.68</v>
      </c>
      <c r="I69" s="20" t="s">
        <v>22</v>
      </c>
      <c r="J69" s="21">
        <v>200</v>
      </c>
      <c r="K69" s="22">
        <v>6</v>
      </c>
      <c r="L69" s="22">
        <f t="shared" si="18"/>
        <v>1.08</v>
      </c>
      <c r="M69" s="22">
        <f t="shared" si="19"/>
        <v>7.08</v>
      </c>
      <c r="N69" s="23">
        <f t="shared" si="16"/>
        <v>1416</v>
      </c>
      <c r="O69" s="23">
        <v>4</v>
      </c>
      <c r="P69" s="22">
        <f t="shared" si="13"/>
        <v>196</v>
      </c>
      <c r="Q69" s="22">
        <f t="shared" si="17"/>
        <v>1387.68</v>
      </c>
      <c r="R69" s="20" t="s">
        <v>32</v>
      </c>
      <c r="S69" s="24"/>
      <c r="T69" s="29"/>
    </row>
    <row r="70" spans="2:20" s="25" customFormat="1" ht="20.25" x14ac:dyDescent="0.3">
      <c r="B70" s="16">
        <f t="shared" si="7"/>
        <v>62</v>
      </c>
      <c r="C70" s="17">
        <v>43830</v>
      </c>
      <c r="D70" s="17">
        <v>43859</v>
      </c>
      <c r="E70" s="18" t="s">
        <v>124</v>
      </c>
      <c r="F70" s="18" t="s">
        <v>125</v>
      </c>
      <c r="G70" s="19">
        <f t="shared" si="12"/>
        <v>196</v>
      </c>
      <c r="H70" s="19">
        <f t="shared" si="15"/>
        <v>1387.68</v>
      </c>
      <c r="I70" s="20" t="s">
        <v>22</v>
      </c>
      <c r="J70" s="21">
        <v>200</v>
      </c>
      <c r="K70" s="22">
        <v>6</v>
      </c>
      <c r="L70" s="22">
        <f t="shared" si="18"/>
        <v>1.08</v>
      </c>
      <c r="M70" s="22">
        <f t="shared" si="19"/>
        <v>7.08</v>
      </c>
      <c r="N70" s="23">
        <f t="shared" si="16"/>
        <v>1416</v>
      </c>
      <c r="O70" s="23">
        <f>4+0</f>
        <v>4</v>
      </c>
      <c r="P70" s="22">
        <f t="shared" si="13"/>
        <v>196</v>
      </c>
      <c r="Q70" s="22">
        <f t="shared" si="17"/>
        <v>1387.68</v>
      </c>
      <c r="R70" s="20" t="s">
        <v>32</v>
      </c>
      <c r="S70" s="24"/>
      <c r="T70" s="29"/>
    </row>
    <row r="71" spans="2:20" s="25" customFormat="1" ht="20.25" x14ac:dyDescent="0.3">
      <c r="B71" s="16">
        <f t="shared" si="7"/>
        <v>63</v>
      </c>
      <c r="C71" s="17">
        <v>43252</v>
      </c>
      <c r="D71" s="17">
        <v>43253</v>
      </c>
      <c r="E71" s="18" t="s">
        <v>124</v>
      </c>
      <c r="F71" s="18" t="s">
        <v>126</v>
      </c>
      <c r="G71" s="19">
        <f t="shared" si="12"/>
        <v>47</v>
      </c>
      <c r="H71" s="19">
        <f t="shared" si="15"/>
        <v>998.28</v>
      </c>
      <c r="I71" s="20" t="s">
        <v>22</v>
      </c>
      <c r="J71" s="21">
        <v>100</v>
      </c>
      <c r="K71" s="22">
        <v>18</v>
      </c>
      <c r="L71" s="22">
        <f t="shared" si="18"/>
        <v>3.2399999999999998</v>
      </c>
      <c r="M71" s="22">
        <f t="shared" si="19"/>
        <v>21.24</v>
      </c>
      <c r="N71" s="23">
        <f t="shared" si="16"/>
        <v>2124</v>
      </c>
      <c r="O71" s="23">
        <f>1+2+50</f>
        <v>53</v>
      </c>
      <c r="P71" s="22">
        <f t="shared" si="13"/>
        <v>47</v>
      </c>
      <c r="Q71" s="22">
        <f t="shared" si="17"/>
        <v>998.28</v>
      </c>
      <c r="R71" s="20"/>
      <c r="S71" s="24"/>
      <c r="T71" s="29"/>
    </row>
    <row r="72" spans="2:20" s="25" customFormat="1" ht="20.25" x14ac:dyDescent="0.3">
      <c r="B72" s="16">
        <f t="shared" si="7"/>
        <v>64</v>
      </c>
      <c r="C72" s="17" t="s">
        <v>28</v>
      </c>
      <c r="D72" s="17" t="s">
        <v>29</v>
      </c>
      <c r="E72" s="18" t="s">
        <v>120</v>
      </c>
      <c r="F72" s="18" t="s">
        <v>127</v>
      </c>
      <c r="G72" s="19">
        <f t="shared" si="12"/>
        <v>109</v>
      </c>
      <c r="H72" s="19">
        <f t="shared" si="15"/>
        <v>2572.4</v>
      </c>
      <c r="I72" s="20" t="s">
        <v>22</v>
      </c>
      <c r="J72" s="21">
        <v>400</v>
      </c>
      <c r="K72" s="22">
        <v>20</v>
      </c>
      <c r="L72" s="22">
        <f t="shared" si="18"/>
        <v>3.5999999999999996</v>
      </c>
      <c r="M72" s="22">
        <f t="shared" si="19"/>
        <v>23.6</v>
      </c>
      <c r="N72" s="23">
        <f t="shared" si="16"/>
        <v>9440</v>
      </c>
      <c r="O72" s="23">
        <f>171+100+10+10</f>
        <v>291</v>
      </c>
      <c r="P72" s="22">
        <f t="shared" si="13"/>
        <v>109</v>
      </c>
      <c r="Q72" s="22">
        <f t="shared" si="17"/>
        <v>2572.4</v>
      </c>
      <c r="R72" s="20"/>
      <c r="S72" s="24"/>
      <c r="T72" s="29"/>
    </row>
    <row r="73" spans="2:20" s="25" customFormat="1" ht="20.25" x14ac:dyDescent="0.3">
      <c r="B73" s="16">
        <f t="shared" si="7"/>
        <v>65</v>
      </c>
      <c r="C73" s="17">
        <v>43252</v>
      </c>
      <c r="D73" s="17">
        <v>43253</v>
      </c>
      <c r="E73" s="18" t="s">
        <v>120</v>
      </c>
      <c r="F73" s="18" t="s">
        <v>128</v>
      </c>
      <c r="G73" s="19">
        <f t="shared" si="12"/>
        <v>200</v>
      </c>
      <c r="H73" s="19">
        <f t="shared" si="15"/>
        <v>696.2</v>
      </c>
      <c r="I73" s="20" t="s">
        <v>22</v>
      </c>
      <c r="J73" s="21">
        <v>200</v>
      </c>
      <c r="K73" s="22">
        <v>2.95</v>
      </c>
      <c r="L73" s="22">
        <f t="shared" si="18"/>
        <v>0.53100000000000003</v>
      </c>
      <c r="M73" s="22">
        <f t="shared" si="19"/>
        <v>3.4810000000000003</v>
      </c>
      <c r="N73" s="23">
        <f t="shared" si="16"/>
        <v>696.2</v>
      </c>
      <c r="O73" s="23"/>
      <c r="P73" s="22">
        <f t="shared" si="13"/>
        <v>200</v>
      </c>
      <c r="Q73" s="22">
        <f t="shared" si="17"/>
        <v>696.2</v>
      </c>
      <c r="R73" s="20" t="s">
        <v>32</v>
      </c>
      <c r="S73" s="24"/>
      <c r="T73" s="29"/>
    </row>
    <row r="74" spans="2:20" s="25" customFormat="1" ht="20.25" x14ac:dyDescent="0.3">
      <c r="B74" s="16">
        <f t="shared" si="7"/>
        <v>66</v>
      </c>
      <c r="C74" s="17">
        <v>43252</v>
      </c>
      <c r="D74" s="17">
        <v>43253</v>
      </c>
      <c r="E74" s="18" t="s">
        <v>122</v>
      </c>
      <c r="F74" s="18" t="s">
        <v>129</v>
      </c>
      <c r="G74" s="19">
        <f t="shared" si="12"/>
        <v>25</v>
      </c>
      <c r="H74" s="19">
        <f t="shared" si="15"/>
        <v>6107.7464788732395</v>
      </c>
      <c r="I74" s="20" t="s">
        <v>130</v>
      </c>
      <c r="J74" s="21">
        <v>29</v>
      </c>
      <c r="K74" s="22">
        <v>207.04225352112675</v>
      </c>
      <c r="L74" s="22">
        <f t="shared" si="18"/>
        <v>37.267605633802816</v>
      </c>
      <c r="M74" s="22">
        <f t="shared" si="19"/>
        <v>244.30985915492957</v>
      </c>
      <c r="N74" s="23">
        <f t="shared" si="16"/>
        <v>7084.9859154929572</v>
      </c>
      <c r="O74" s="23">
        <f>3+1</f>
        <v>4</v>
      </c>
      <c r="P74" s="22">
        <f t="shared" si="13"/>
        <v>25</v>
      </c>
      <c r="Q74" s="22">
        <f t="shared" si="17"/>
        <v>6107.7464788732395</v>
      </c>
      <c r="R74" s="20"/>
      <c r="S74" s="24">
        <f>Q74/P74</f>
        <v>244.30985915492957</v>
      </c>
      <c r="T74" s="29"/>
    </row>
    <row r="75" spans="2:20" s="25" customFormat="1" ht="20.25" x14ac:dyDescent="0.3">
      <c r="B75" s="16">
        <f t="shared" si="7"/>
        <v>67</v>
      </c>
      <c r="C75" s="17" t="s">
        <v>28</v>
      </c>
      <c r="D75" s="17" t="s">
        <v>29</v>
      </c>
      <c r="E75" s="18" t="s">
        <v>131</v>
      </c>
      <c r="F75" s="18" t="s">
        <v>132</v>
      </c>
      <c r="G75" s="19">
        <f t="shared" si="12"/>
        <v>1485</v>
      </c>
      <c r="H75" s="19">
        <f t="shared" si="15"/>
        <v>11137.5</v>
      </c>
      <c r="I75" s="20" t="s">
        <v>116</v>
      </c>
      <c r="J75" s="21">
        <v>1500</v>
      </c>
      <c r="K75" s="22">
        <f>7.5</f>
        <v>7.5</v>
      </c>
      <c r="L75" s="22">
        <v>0</v>
      </c>
      <c r="M75" s="22">
        <f>+K75</f>
        <v>7.5</v>
      </c>
      <c r="N75" s="23">
        <f t="shared" si="16"/>
        <v>11250</v>
      </c>
      <c r="O75" s="23">
        <f>5+5+5</f>
        <v>15</v>
      </c>
      <c r="P75" s="22">
        <f t="shared" si="13"/>
        <v>1485</v>
      </c>
      <c r="Q75" s="22">
        <f t="shared" si="17"/>
        <v>11137.5</v>
      </c>
      <c r="R75" s="20" t="s">
        <v>54</v>
      </c>
      <c r="S75" s="24">
        <f>Q75/P75</f>
        <v>7.5</v>
      </c>
      <c r="T75" s="29"/>
    </row>
    <row r="76" spans="2:20" s="25" customFormat="1" ht="20.25" x14ac:dyDescent="0.3">
      <c r="B76" s="16">
        <f t="shared" si="7"/>
        <v>68</v>
      </c>
      <c r="C76" s="17" t="s">
        <v>28</v>
      </c>
      <c r="D76" s="17" t="s">
        <v>29</v>
      </c>
      <c r="E76" s="18" t="s">
        <v>131</v>
      </c>
      <c r="F76" s="18" t="s">
        <v>133</v>
      </c>
      <c r="G76" s="19">
        <f t="shared" si="12"/>
        <v>24</v>
      </c>
      <c r="H76" s="19">
        <f t="shared" si="15"/>
        <v>225.14400000000001</v>
      </c>
      <c r="I76" s="20" t="s">
        <v>134</v>
      </c>
      <c r="J76" s="21">
        <v>362</v>
      </c>
      <c r="K76" s="22">
        <v>7.95</v>
      </c>
      <c r="L76" s="22">
        <f t="shared" ref="L76:L88" si="20">+K76*18%</f>
        <v>1.431</v>
      </c>
      <c r="M76" s="22">
        <f t="shared" ref="M76:M88" si="21">+K76+L76</f>
        <v>9.3810000000000002</v>
      </c>
      <c r="N76" s="23">
        <f t="shared" si="16"/>
        <v>3395.922</v>
      </c>
      <c r="O76" s="23">
        <f>18+255+6+43+6+10</f>
        <v>338</v>
      </c>
      <c r="P76" s="22">
        <f t="shared" si="13"/>
        <v>24</v>
      </c>
      <c r="Q76" s="22">
        <f t="shared" si="17"/>
        <v>225.14400000000001</v>
      </c>
      <c r="R76" s="20"/>
      <c r="S76" s="24">
        <f>Q76/P76</f>
        <v>9.3810000000000002</v>
      </c>
      <c r="T76" s="29"/>
    </row>
    <row r="77" spans="2:20" s="25" customFormat="1" ht="20.25" x14ac:dyDescent="0.3">
      <c r="B77" s="16">
        <f t="shared" si="7"/>
        <v>69</v>
      </c>
      <c r="C77" s="17" t="s">
        <v>28</v>
      </c>
      <c r="D77" s="17" t="s">
        <v>29</v>
      </c>
      <c r="E77" s="18" t="s">
        <v>135</v>
      </c>
      <c r="F77" s="18" t="s">
        <v>136</v>
      </c>
      <c r="G77" s="19">
        <f t="shared" si="12"/>
        <v>3</v>
      </c>
      <c r="H77" s="19">
        <f t="shared" si="15"/>
        <v>148.68</v>
      </c>
      <c r="I77" s="20" t="s">
        <v>22</v>
      </c>
      <c r="J77" s="21">
        <v>500</v>
      </c>
      <c r="K77" s="22">
        <v>42</v>
      </c>
      <c r="L77" s="22">
        <f t="shared" si="20"/>
        <v>7.56</v>
      </c>
      <c r="M77" s="22">
        <f t="shared" si="21"/>
        <v>49.56</v>
      </c>
      <c r="N77" s="23">
        <f t="shared" si="16"/>
        <v>24780</v>
      </c>
      <c r="O77" s="23">
        <f>54+20+35+12+100+150+30+25+3+12+16+1+1+1+30+7</f>
        <v>497</v>
      </c>
      <c r="P77" s="22">
        <f t="shared" si="13"/>
        <v>3</v>
      </c>
      <c r="Q77" s="22">
        <f t="shared" si="17"/>
        <v>148.68</v>
      </c>
      <c r="R77" s="20" t="s">
        <v>35</v>
      </c>
      <c r="S77" s="24">
        <f>Q77/P77</f>
        <v>49.56</v>
      </c>
      <c r="T77" s="29"/>
    </row>
    <row r="78" spans="2:20" s="25" customFormat="1" ht="20.25" x14ac:dyDescent="0.3">
      <c r="B78" s="16">
        <f t="shared" ref="B78:B129" si="22">B77+1</f>
        <v>70</v>
      </c>
      <c r="C78" s="17" t="s">
        <v>28</v>
      </c>
      <c r="D78" s="17" t="s">
        <v>29</v>
      </c>
      <c r="E78" s="18" t="s">
        <v>137</v>
      </c>
      <c r="F78" s="18" t="s">
        <v>138</v>
      </c>
      <c r="G78" s="19">
        <f t="shared" si="12"/>
        <v>3</v>
      </c>
      <c r="H78" s="19">
        <f t="shared" si="15"/>
        <v>1101.3333333333333</v>
      </c>
      <c r="I78" s="20" t="s">
        <v>84</v>
      </c>
      <c r="J78" s="21">
        <v>15</v>
      </c>
      <c r="K78" s="22">
        <v>311.11111111111109</v>
      </c>
      <c r="L78" s="22">
        <f t="shared" si="20"/>
        <v>55.999999999999993</v>
      </c>
      <c r="M78" s="22">
        <f t="shared" si="21"/>
        <v>367.11111111111109</v>
      </c>
      <c r="N78" s="23">
        <f t="shared" si="16"/>
        <v>5506.6666666666661</v>
      </c>
      <c r="O78" s="23">
        <v>12</v>
      </c>
      <c r="P78" s="22">
        <f t="shared" si="13"/>
        <v>3</v>
      </c>
      <c r="Q78" s="22">
        <f t="shared" si="17"/>
        <v>1101.3333333333333</v>
      </c>
      <c r="R78" s="20"/>
      <c r="S78" s="24">
        <f>Q78/P78</f>
        <v>367.11111111111109</v>
      </c>
    </row>
    <row r="79" spans="2:20" s="25" customFormat="1" ht="20.25" x14ac:dyDescent="0.3">
      <c r="B79" s="16">
        <f t="shared" si="22"/>
        <v>71</v>
      </c>
      <c r="C79" s="17">
        <v>43609</v>
      </c>
      <c r="D79" s="17">
        <v>43612</v>
      </c>
      <c r="E79" s="18" t="s">
        <v>139</v>
      </c>
      <c r="F79" s="18" t="s">
        <v>140</v>
      </c>
      <c r="G79" s="19">
        <f t="shared" si="12"/>
        <v>7</v>
      </c>
      <c r="H79" s="19">
        <f t="shared" si="15"/>
        <v>206.5</v>
      </c>
      <c r="I79" s="20" t="s">
        <v>84</v>
      </c>
      <c r="J79" s="21">
        <v>20</v>
      </c>
      <c r="K79" s="22">
        <v>25</v>
      </c>
      <c r="L79" s="22">
        <f t="shared" si="20"/>
        <v>4.5</v>
      </c>
      <c r="M79" s="22">
        <f t="shared" si="21"/>
        <v>29.5</v>
      </c>
      <c r="N79" s="23">
        <f t="shared" si="16"/>
        <v>590</v>
      </c>
      <c r="O79" s="23">
        <f>3+1+2+2+2+1+1+1</f>
        <v>13</v>
      </c>
      <c r="P79" s="22">
        <f t="shared" si="13"/>
        <v>7</v>
      </c>
      <c r="Q79" s="22">
        <f t="shared" si="17"/>
        <v>206.5</v>
      </c>
      <c r="R79" s="20" t="s">
        <v>32</v>
      </c>
      <c r="S79" s="24"/>
    </row>
    <row r="80" spans="2:20" s="25" customFormat="1" ht="20.25" x14ac:dyDescent="0.3">
      <c r="B80" s="16">
        <f t="shared" si="22"/>
        <v>72</v>
      </c>
      <c r="C80" s="17">
        <v>43609</v>
      </c>
      <c r="D80" s="17">
        <v>43612</v>
      </c>
      <c r="E80" s="18" t="s">
        <v>141</v>
      </c>
      <c r="F80" s="18" t="s">
        <v>142</v>
      </c>
      <c r="G80" s="19">
        <f t="shared" si="12"/>
        <v>1</v>
      </c>
      <c r="H80" s="19">
        <f t="shared" si="15"/>
        <v>767</v>
      </c>
      <c r="I80" s="20" t="s">
        <v>22</v>
      </c>
      <c r="J80" s="21">
        <v>1</v>
      </c>
      <c r="K80" s="22">
        <v>650</v>
      </c>
      <c r="L80" s="22">
        <f t="shared" si="20"/>
        <v>117</v>
      </c>
      <c r="M80" s="22">
        <f t="shared" si="21"/>
        <v>767</v>
      </c>
      <c r="N80" s="23">
        <f t="shared" si="16"/>
        <v>767</v>
      </c>
      <c r="O80" s="23"/>
      <c r="P80" s="22">
        <f t="shared" si="13"/>
        <v>1</v>
      </c>
      <c r="Q80" s="22">
        <f t="shared" si="17"/>
        <v>767</v>
      </c>
      <c r="R80" s="20"/>
      <c r="S80" s="24">
        <f t="shared" ref="S80:S90" si="23">Q80/P80</f>
        <v>767</v>
      </c>
    </row>
    <row r="81" spans="2:19" s="25" customFormat="1" ht="20.25" x14ac:dyDescent="0.3">
      <c r="B81" s="16">
        <f t="shared" si="22"/>
        <v>73</v>
      </c>
      <c r="C81" s="17">
        <v>43318</v>
      </c>
      <c r="D81" s="17">
        <v>43319</v>
      </c>
      <c r="E81" s="18" t="s">
        <v>143</v>
      </c>
      <c r="F81" s="18" t="s">
        <v>142</v>
      </c>
      <c r="G81" s="19">
        <f t="shared" si="12"/>
        <v>3</v>
      </c>
      <c r="H81" s="19">
        <f t="shared" si="15"/>
        <v>2301</v>
      </c>
      <c r="I81" s="20" t="s">
        <v>22</v>
      </c>
      <c r="J81" s="21">
        <v>5</v>
      </c>
      <c r="K81" s="22">
        <v>650</v>
      </c>
      <c r="L81" s="22">
        <f t="shared" si="20"/>
        <v>117</v>
      </c>
      <c r="M81" s="22">
        <f t="shared" si="21"/>
        <v>767</v>
      </c>
      <c r="N81" s="23">
        <f t="shared" si="16"/>
        <v>3835</v>
      </c>
      <c r="O81" s="23">
        <f>1+1</f>
        <v>2</v>
      </c>
      <c r="P81" s="22">
        <f t="shared" si="13"/>
        <v>3</v>
      </c>
      <c r="Q81" s="22">
        <f t="shared" si="17"/>
        <v>2301</v>
      </c>
      <c r="R81" s="20" t="s">
        <v>25</v>
      </c>
      <c r="S81" s="24">
        <f t="shared" si="23"/>
        <v>767</v>
      </c>
    </row>
    <row r="82" spans="2:19" s="25" customFormat="1" ht="20.25" x14ac:dyDescent="0.3">
      <c r="B82" s="16">
        <f t="shared" si="22"/>
        <v>74</v>
      </c>
      <c r="C82" s="17">
        <v>43252</v>
      </c>
      <c r="D82" s="17">
        <v>43254</v>
      </c>
      <c r="E82" s="18" t="s">
        <v>144</v>
      </c>
      <c r="F82" s="18" t="s">
        <v>145</v>
      </c>
      <c r="G82" s="19">
        <f t="shared" si="12"/>
        <v>8</v>
      </c>
      <c r="H82" s="19">
        <f t="shared" si="15"/>
        <v>11328</v>
      </c>
      <c r="I82" s="20" t="s">
        <v>84</v>
      </c>
      <c r="J82" s="21">
        <v>8</v>
      </c>
      <c r="K82" s="22">
        <v>1200</v>
      </c>
      <c r="L82" s="22">
        <f t="shared" si="20"/>
        <v>216</v>
      </c>
      <c r="M82" s="22">
        <f t="shared" si="21"/>
        <v>1416</v>
      </c>
      <c r="N82" s="23">
        <f t="shared" si="16"/>
        <v>11328</v>
      </c>
      <c r="O82" s="23"/>
      <c r="P82" s="22">
        <f t="shared" si="13"/>
        <v>8</v>
      </c>
      <c r="Q82" s="22">
        <f t="shared" si="17"/>
        <v>11328</v>
      </c>
      <c r="R82" s="20" t="s">
        <v>25</v>
      </c>
      <c r="S82" s="24">
        <f t="shared" si="23"/>
        <v>1416</v>
      </c>
    </row>
    <row r="83" spans="2:19" s="25" customFormat="1" ht="20.25" x14ac:dyDescent="0.3">
      <c r="B83" s="16">
        <f t="shared" si="22"/>
        <v>75</v>
      </c>
      <c r="C83" s="17">
        <v>43252</v>
      </c>
      <c r="D83" s="17">
        <v>43254</v>
      </c>
      <c r="E83" s="18" t="s">
        <v>146</v>
      </c>
      <c r="F83" s="18" t="s">
        <v>147</v>
      </c>
      <c r="G83" s="19">
        <f t="shared" si="12"/>
        <v>17</v>
      </c>
      <c r="H83" s="19">
        <f t="shared" si="15"/>
        <v>2166.4800000000005</v>
      </c>
      <c r="I83" s="20" t="s">
        <v>84</v>
      </c>
      <c r="J83" s="21">
        <v>31</v>
      </c>
      <c r="K83" s="22">
        <v>108.00000000000003</v>
      </c>
      <c r="L83" s="22">
        <f t="shared" si="20"/>
        <v>19.440000000000005</v>
      </c>
      <c r="M83" s="22">
        <f t="shared" si="21"/>
        <v>127.44000000000003</v>
      </c>
      <c r="N83" s="23">
        <f t="shared" si="16"/>
        <v>3950.6400000000008</v>
      </c>
      <c r="O83" s="23">
        <f>13+1</f>
        <v>14</v>
      </c>
      <c r="P83" s="22">
        <f t="shared" si="13"/>
        <v>17</v>
      </c>
      <c r="Q83" s="22">
        <f t="shared" si="17"/>
        <v>2166.4800000000005</v>
      </c>
      <c r="R83" s="20"/>
      <c r="S83" s="24">
        <f t="shared" si="23"/>
        <v>127.44000000000003</v>
      </c>
    </row>
    <row r="84" spans="2:19" s="25" customFormat="1" ht="20.25" x14ac:dyDescent="0.3">
      <c r="B84" s="16">
        <f t="shared" si="22"/>
        <v>76</v>
      </c>
      <c r="C84" s="17">
        <v>43318</v>
      </c>
      <c r="D84" s="17">
        <v>43319</v>
      </c>
      <c r="E84" s="18" t="s">
        <v>148</v>
      </c>
      <c r="F84" s="18" t="s">
        <v>149</v>
      </c>
      <c r="G84" s="19">
        <f t="shared" si="12"/>
        <v>3</v>
      </c>
      <c r="H84" s="19">
        <f t="shared" si="15"/>
        <v>12036</v>
      </c>
      <c r="I84" s="20" t="s">
        <v>22</v>
      </c>
      <c r="J84" s="21">
        <v>3</v>
      </c>
      <c r="K84" s="22">
        <v>3400</v>
      </c>
      <c r="L84" s="22">
        <f t="shared" si="20"/>
        <v>612</v>
      </c>
      <c r="M84" s="22">
        <f t="shared" si="21"/>
        <v>4012</v>
      </c>
      <c r="N84" s="23">
        <f t="shared" si="16"/>
        <v>12036</v>
      </c>
      <c r="O84" s="23"/>
      <c r="P84" s="22">
        <f t="shared" si="13"/>
        <v>3</v>
      </c>
      <c r="Q84" s="22">
        <f t="shared" si="17"/>
        <v>12036</v>
      </c>
      <c r="R84" s="20" t="s">
        <v>150</v>
      </c>
      <c r="S84" s="24">
        <f t="shared" si="23"/>
        <v>4012</v>
      </c>
    </row>
    <row r="85" spans="2:19" s="25" customFormat="1" ht="20.25" x14ac:dyDescent="0.3">
      <c r="B85" s="16">
        <f t="shared" si="22"/>
        <v>77</v>
      </c>
      <c r="C85" s="17">
        <v>43609</v>
      </c>
      <c r="D85" s="17">
        <v>43612</v>
      </c>
      <c r="E85" s="18" t="s">
        <v>151</v>
      </c>
      <c r="F85" s="18" t="s">
        <v>152</v>
      </c>
      <c r="G85" s="19">
        <f t="shared" si="12"/>
        <v>24</v>
      </c>
      <c r="H85" s="19">
        <f t="shared" si="15"/>
        <v>226.56</v>
      </c>
      <c r="I85" s="20" t="s">
        <v>22</v>
      </c>
      <c r="J85" s="21">
        <v>75</v>
      </c>
      <c r="K85" s="22">
        <v>8</v>
      </c>
      <c r="L85" s="22">
        <f t="shared" si="20"/>
        <v>1.44</v>
      </c>
      <c r="M85" s="22">
        <f t="shared" si="21"/>
        <v>9.44</v>
      </c>
      <c r="N85" s="23">
        <f t="shared" si="16"/>
        <v>708</v>
      </c>
      <c r="O85" s="23">
        <f>50+1</f>
        <v>51</v>
      </c>
      <c r="P85" s="22">
        <f t="shared" si="13"/>
        <v>24</v>
      </c>
      <c r="Q85" s="22">
        <f t="shared" si="17"/>
        <v>226.56</v>
      </c>
      <c r="R85" s="20" t="s">
        <v>25</v>
      </c>
      <c r="S85" s="24">
        <f t="shared" si="23"/>
        <v>9.44</v>
      </c>
    </row>
    <row r="86" spans="2:19" s="25" customFormat="1" ht="20.25" x14ac:dyDescent="0.3">
      <c r="B86" s="16">
        <f t="shared" si="22"/>
        <v>78</v>
      </c>
      <c r="C86" s="17">
        <v>43252</v>
      </c>
      <c r="D86" s="17">
        <v>43254</v>
      </c>
      <c r="E86" s="18" t="s">
        <v>153</v>
      </c>
      <c r="F86" s="18" t="s">
        <v>154</v>
      </c>
      <c r="G86" s="19">
        <f t="shared" si="12"/>
        <v>190</v>
      </c>
      <c r="H86" s="19">
        <f t="shared" si="15"/>
        <v>1457.3</v>
      </c>
      <c r="I86" s="20" t="s">
        <v>155</v>
      </c>
      <c r="J86" s="21">
        <v>200</v>
      </c>
      <c r="K86" s="22">
        <v>6.5</v>
      </c>
      <c r="L86" s="22">
        <f t="shared" si="20"/>
        <v>1.17</v>
      </c>
      <c r="M86" s="22">
        <f t="shared" si="21"/>
        <v>7.67</v>
      </c>
      <c r="N86" s="23">
        <f t="shared" si="16"/>
        <v>1534</v>
      </c>
      <c r="O86" s="23">
        <v>10</v>
      </c>
      <c r="P86" s="22">
        <f t="shared" si="13"/>
        <v>190</v>
      </c>
      <c r="Q86" s="22">
        <f t="shared" si="17"/>
        <v>1457.3</v>
      </c>
      <c r="R86" s="20"/>
      <c r="S86" s="24">
        <f t="shared" si="23"/>
        <v>7.67</v>
      </c>
    </row>
    <row r="87" spans="2:19" s="25" customFormat="1" ht="20.25" x14ac:dyDescent="0.3">
      <c r="B87" s="16">
        <f t="shared" si="22"/>
        <v>79</v>
      </c>
      <c r="C87" s="17">
        <v>43830</v>
      </c>
      <c r="D87" s="17">
        <v>43494</v>
      </c>
      <c r="E87" s="18" t="s">
        <v>156</v>
      </c>
      <c r="F87" s="18" t="s">
        <v>157</v>
      </c>
      <c r="G87" s="19">
        <f t="shared" si="12"/>
        <v>1842</v>
      </c>
      <c r="H87" s="19">
        <f t="shared" si="15"/>
        <v>2738.6856000000002</v>
      </c>
      <c r="I87" s="20" t="s">
        <v>155</v>
      </c>
      <c r="J87" s="21">
        <v>2158</v>
      </c>
      <c r="K87" s="22">
        <v>1.26</v>
      </c>
      <c r="L87" s="22">
        <f t="shared" si="20"/>
        <v>0.2268</v>
      </c>
      <c r="M87" s="22">
        <f t="shared" si="21"/>
        <v>1.4868000000000001</v>
      </c>
      <c r="N87" s="23">
        <f t="shared" si="16"/>
        <v>3208.5144000000005</v>
      </c>
      <c r="O87" s="23">
        <f>158+158</f>
        <v>316</v>
      </c>
      <c r="P87" s="22">
        <f t="shared" si="13"/>
        <v>1842</v>
      </c>
      <c r="Q87" s="22">
        <f t="shared" si="17"/>
        <v>2738.6856000000002</v>
      </c>
      <c r="S87" s="24">
        <f t="shared" si="23"/>
        <v>1.4868000000000001</v>
      </c>
    </row>
    <row r="88" spans="2:19" s="25" customFormat="1" ht="20.25" x14ac:dyDescent="0.3">
      <c r="B88" s="16">
        <f t="shared" si="22"/>
        <v>80</v>
      </c>
      <c r="C88" s="17">
        <v>43830</v>
      </c>
      <c r="D88" s="17">
        <v>43859</v>
      </c>
      <c r="E88" s="18" t="s">
        <v>156</v>
      </c>
      <c r="F88" s="18" t="s">
        <v>157</v>
      </c>
      <c r="G88" s="19">
        <f t="shared" si="12"/>
        <v>998</v>
      </c>
      <c r="H88" s="19">
        <f t="shared" si="15"/>
        <v>294.40999999999997</v>
      </c>
      <c r="I88" s="20" t="s">
        <v>155</v>
      </c>
      <c r="J88" s="21">
        <v>1000</v>
      </c>
      <c r="K88" s="22">
        <v>0.25</v>
      </c>
      <c r="L88" s="22">
        <f t="shared" si="20"/>
        <v>4.4999999999999998E-2</v>
      </c>
      <c r="M88" s="22">
        <f t="shared" si="21"/>
        <v>0.29499999999999998</v>
      </c>
      <c r="N88" s="23">
        <f t="shared" si="16"/>
        <v>295</v>
      </c>
      <c r="O88" s="23">
        <v>2</v>
      </c>
      <c r="P88" s="22">
        <f t="shared" si="13"/>
        <v>998</v>
      </c>
      <c r="Q88" s="22">
        <f t="shared" si="17"/>
        <v>294.40999999999997</v>
      </c>
      <c r="R88" s="20" t="s">
        <v>25</v>
      </c>
      <c r="S88" s="24">
        <f t="shared" si="23"/>
        <v>0.29499999999999998</v>
      </c>
    </row>
    <row r="89" spans="2:19" s="25" customFormat="1" ht="20.25" x14ac:dyDescent="0.3">
      <c r="B89" s="16">
        <f t="shared" si="22"/>
        <v>81</v>
      </c>
      <c r="C89" s="17">
        <v>43609</v>
      </c>
      <c r="D89" s="17">
        <v>43612</v>
      </c>
      <c r="E89" s="18" t="s">
        <v>158</v>
      </c>
      <c r="F89" s="18" t="s">
        <v>159</v>
      </c>
      <c r="G89" s="19">
        <f t="shared" si="12"/>
        <v>837</v>
      </c>
      <c r="H89" s="19">
        <v>11600</v>
      </c>
      <c r="I89" s="20" t="s">
        <v>22</v>
      </c>
      <c r="J89" s="21">
        <f>116*12</f>
        <v>1392</v>
      </c>
      <c r="K89" s="22">
        <v>8.33</v>
      </c>
      <c r="L89" s="22">
        <v>0</v>
      </c>
      <c r="M89" s="22">
        <v>0</v>
      </c>
      <c r="N89" s="23">
        <v>11600</v>
      </c>
      <c r="O89" s="28">
        <f>1+12+1+12+10+12+12+150+24+12+12+12+24+24+24+2+150+1+1+4+3+3+2+3+1+1+3+1+2+1+1+12+2+2+12+3+1+2</f>
        <v>555</v>
      </c>
      <c r="P89" s="30">
        <f t="shared" si="13"/>
        <v>837</v>
      </c>
      <c r="Q89" s="22">
        <v>11600</v>
      </c>
      <c r="R89" s="20" t="s">
        <v>25</v>
      </c>
      <c r="S89" s="24">
        <f t="shared" si="23"/>
        <v>13.859020310633214</v>
      </c>
    </row>
    <row r="90" spans="2:19" s="25" customFormat="1" ht="20.25" x14ac:dyDescent="0.3">
      <c r="B90" s="16">
        <f t="shared" si="22"/>
        <v>82</v>
      </c>
      <c r="C90" s="17">
        <v>43609</v>
      </c>
      <c r="D90" s="17">
        <v>43612</v>
      </c>
      <c r="E90" s="18" t="s">
        <v>160</v>
      </c>
      <c r="F90" s="18" t="s">
        <v>161</v>
      </c>
      <c r="G90" s="19">
        <v>24</v>
      </c>
      <c r="H90" s="19">
        <v>300</v>
      </c>
      <c r="I90" s="20" t="s">
        <v>22</v>
      </c>
      <c r="J90" s="21">
        <v>36</v>
      </c>
      <c r="K90" s="22">
        <v>8.33</v>
      </c>
      <c r="L90" s="22">
        <v>0</v>
      </c>
      <c r="M90" s="22">
        <v>0</v>
      </c>
      <c r="N90" s="23">
        <v>300</v>
      </c>
      <c r="O90" s="23">
        <f>24+1+6+1+1+2</f>
        <v>35</v>
      </c>
      <c r="P90" s="22">
        <f t="shared" si="13"/>
        <v>1</v>
      </c>
      <c r="Q90" s="22">
        <v>300</v>
      </c>
      <c r="R90" s="20" t="s">
        <v>25</v>
      </c>
      <c r="S90" s="24">
        <f t="shared" si="23"/>
        <v>300</v>
      </c>
    </row>
    <row r="91" spans="2:19" s="25" customFormat="1" ht="20.25" x14ac:dyDescent="0.3">
      <c r="B91" s="16">
        <f t="shared" si="22"/>
        <v>83</v>
      </c>
      <c r="C91" s="17" t="s">
        <v>28</v>
      </c>
      <c r="D91" s="17" t="s">
        <v>29</v>
      </c>
      <c r="E91" s="18" t="s">
        <v>160</v>
      </c>
      <c r="F91" s="18" t="s">
        <v>162</v>
      </c>
      <c r="G91" s="19">
        <f t="shared" si="12"/>
        <v>7</v>
      </c>
      <c r="H91" s="19">
        <f>$P91*$M91</f>
        <v>43.75</v>
      </c>
      <c r="I91" s="20" t="s">
        <v>22</v>
      </c>
      <c r="J91" s="21">
        <v>24</v>
      </c>
      <c r="K91" s="22">
        <v>6.25</v>
      </c>
      <c r="L91" s="22">
        <v>0</v>
      </c>
      <c r="M91" s="22">
        <f>+K91+L91</f>
        <v>6.25</v>
      </c>
      <c r="N91" s="23">
        <f>$J91*$M91</f>
        <v>150</v>
      </c>
      <c r="O91" s="23">
        <f>12+1+4</f>
        <v>17</v>
      </c>
      <c r="P91" s="22">
        <f t="shared" si="13"/>
        <v>7</v>
      </c>
      <c r="Q91" s="22">
        <f>$P91*$M91</f>
        <v>43.75</v>
      </c>
      <c r="R91" s="20" t="s">
        <v>32</v>
      </c>
      <c r="S91" s="24"/>
    </row>
    <row r="92" spans="2:19" s="25" customFormat="1" ht="20.25" x14ac:dyDescent="0.3">
      <c r="B92" s="16">
        <f t="shared" si="22"/>
        <v>84</v>
      </c>
      <c r="C92" s="17">
        <v>43318</v>
      </c>
      <c r="D92" s="17">
        <v>43319</v>
      </c>
      <c r="E92" s="18" t="s">
        <v>163</v>
      </c>
      <c r="F92" s="18" t="s">
        <v>164</v>
      </c>
      <c r="G92" s="19">
        <f t="shared" si="12"/>
        <v>1</v>
      </c>
      <c r="H92" s="19">
        <f>$P92*$M92</f>
        <v>17.7</v>
      </c>
      <c r="I92" s="20" t="s">
        <v>22</v>
      </c>
      <c r="J92" s="21">
        <v>30</v>
      </c>
      <c r="K92" s="22">
        <v>15</v>
      </c>
      <c r="L92" s="22">
        <f>+K92*18%</f>
        <v>2.6999999999999997</v>
      </c>
      <c r="M92" s="22">
        <f>+K92+L92</f>
        <v>17.7</v>
      </c>
      <c r="N92" s="23">
        <f>$J92*$M92</f>
        <v>531</v>
      </c>
      <c r="O92" s="23">
        <f>28+1</f>
        <v>29</v>
      </c>
      <c r="P92" s="22">
        <f t="shared" si="13"/>
        <v>1</v>
      </c>
      <c r="Q92" s="22">
        <f>$P92*$M92</f>
        <v>17.7</v>
      </c>
      <c r="R92" s="20"/>
      <c r="S92" s="24">
        <f>Q92/P92</f>
        <v>17.7</v>
      </c>
    </row>
    <row r="93" spans="2:19" s="25" customFormat="1" ht="20.25" x14ac:dyDescent="0.3">
      <c r="B93" s="16">
        <f t="shared" si="22"/>
        <v>85</v>
      </c>
      <c r="C93" s="17">
        <v>43609</v>
      </c>
      <c r="D93" s="17">
        <v>43612</v>
      </c>
      <c r="E93" s="18" t="s">
        <v>163</v>
      </c>
      <c r="F93" s="18" t="s">
        <v>164</v>
      </c>
      <c r="G93" s="19">
        <f t="shared" si="12"/>
        <v>19</v>
      </c>
      <c r="H93" s="19">
        <v>200</v>
      </c>
      <c r="I93" s="20" t="s">
        <v>22</v>
      </c>
      <c r="J93" s="21">
        <v>24</v>
      </c>
      <c r="K93" s="22">
        <v>8.33</v>
      </c>
      <c r="L93" s="22">
        <v>0</v>
      </c>
      <c r="M93" s="22">
        <v>0</v>
      </c>
      <c r="N93" s="23">
        <v>200</v>
      </c>
      <c r="O93" s="23">
        <f>2+1+2</f>
        <v>5</v>
      </c>
      <c r="P93" s="22">
        <f t="shared" si="13"/>
        <v>19</v>
      </c>
      <c r="Q93" s="22">
        <v>200</v>
      </c>
      <c r="R93" s="20" t="s">
        <v>25</v>
      </c>
      <c r="S93" s="24">
        <f>Q93/P93</f>
        <v>10.526315789473685</v>
      </c>
    </row>
    <row r="94" spans="2:19" s="25" customFormat="1" ht="20.25" x14ac:dyDescent="0.3">
      <c r="B94" s="16">
        <f t="shared" si="22"/>
        <v>86</v>
      </c>
      <c r="C94" s="17">
        <v>43609</v>
      </c>
      <c r="D94" s="17">
        <v>43612</v>
      </c>
      <c r="E94" s="18" t="s">
        <v>165</v>
      </c>
      <c r="F94" s="18" t="s">
        <v>166</v>
      </c>
      <c r="G94" s="19">
        <f t="shared" si="12"/>
        <v>634</v>
      </c>
      <c r="H94" s="19">
        <v>1250</v>
      </c>
      <c r="I94" s="20" t="s">
        <v>22</v>
      </c>
      <c r="J94" s="21">
        <f>60*12</f>
        <v>720</v>
      </c>
      <c r="K94" s="22">
        <v>12</v>
      </c>
      <c r="L94" s="22">
        <v>0</v>
      </c>
      <c r="M94" s="22">
        <v>0</v>
      </c>
      <c r="N94" s="23">
        <v>1250</v>
      </c>
      <c r="O94" s="23">
        <f>12+24+1+2+1+12+2+2+1+2+2+1+12+12</f>
        <v>86</v>
      </c>
      <c r="P94" s="22">
        <f t="shared" si="13"/>
        <v>634</v>
      </c>
      <c r="Q94" s="22">
        <v>1250</v>
      </c>
      <c r="R94" s="20" t="s">
        <v>25</v>
      </c>
      <c r="S94" s="24">
        <f>Q94/P94</f>
        <v>1.9716088328075709</v>
      </c>
    </row>
    <row r="95" spans="2:19" s="25" customFormat="1" ht="20.25" x14ac:dyDescent="0.3">
      <c r="B95" s="16">
        <f t="shared" si="22"/>
        <v>87</v>
      </c>
      <c r="C95" s="17" t="s">
        <v>28</v>
      </c>
      <c r="D95" s="17" t="s">
        <v>29</v>
      </c>
      <c r="E95" s="18" t="s">
        <v>167</v>
      </c>
      <c r="F95" s="18" t="s">
        <v>168</v>
      </c>
      <c r="G95" s="19">
        <f t="shared" si="12"/>
        <v>128</v>
      </c>
      <c r="H95" s="19">
        <f t="shared" ref="H95:H158" si="24">$P95*$M95</f>
        <v>746.24</v>
      </c>
      <c r="I95" s="20" t="s">
        <v>22</v>
      </c>
      <c r="J95" s="26">
        <v>132</v>
      </c>
      <c r="K95" s="22">
        <v>5.83</v>
      </c>
      <c r="L95" s="22">
        <v>0</v>
      </c>
      <c r="M95" s="22">
        <f t="shared" ref="M95:M149" si="25">+K95+L95</f>
        <v>5.83</v>
      </c>
      <c r="N95" s="23">
        <f t="shared" ref="N95:N158" si="26">$J95*$M95</f>
        <v>769.56000000000006</v>
      </c>
      <c r="O95" s="23">
        <f>1+1+2</f>
        <v>4</v>
      </c>
      <c r="P95" s="22">
        <f t="shared" si="13"/>
        <v>128</v>
      </c>
      <c r="Q95" s="22">
        <f t="shared" ref="Q95:Q158" si="27">$P95*$M95</f>
        <v>746.24</v>
      </c>
      <c r="R95" s="20" t="s">
        <v>32</v>
      </c>
    </row>
    <row r="96" spans="2:19" s="25" customFormat="1" ht="20.25" x14ac:dyDescent="0.3">
      <c r="B96" s="16">
        <f t="shared" si="22"/>
        <v>88</v>
      </c>
      <c r="C96" s="17" t="s">
        <v>28</v>
      </c>
      <c r="D96" s="17" t="s">
        <v>29</v>
      </c>
      <c r="E96" s="18" t="s">
        <v>169</v>
      </c>
      <c r="F96" s="18" t="s">
        <v>170</v>
      </c>
      <c r="G96" s="19">
        <f t="shared" si="12"/>
        <v>171</v>
      </c>
      <c r="H96" s="19">
        <f t="shared" si="24"/>
        <v>37228.410000000003</v>
      </c>
      <c r="I96" s="20" t="s">
        <v>22</v>
      </c>
      <c r="J96" s="21">
        <v>200</v>
      </c>
      <c r="K96" s="22">
        <v>184.5</v>
      </c>
      <c r="L96" s="22">
        <f>+K96*18%</f>
        <v>33.21</v>
      </c>
      <c r="M96" s="22">
        <f t="shared" si="25"/>
        <v>217.71</v>
      </c>
      <c r="N96" s="23">
        <f t="shared" si="26"/>
        <v>43542</v>
      </c>
      <c r="O96" s="23">
        <f>4+15+10</f>
        <v>29</v>
      </c>
      <c r="P96" s="22">
        <f t="shared" si="13"/>
        <v>171</v>
      </c>
      <c r="Q96" s="22">
        <f t="shared" si="27"/>
        <v>37228.410000000003</v>
      </c>
      <c r="R96" s="20" t="s">
        <v>35</v>
      </c>
      <c r="S96" s="24">
        <f t="shared" ref="S96:S111" si="28">Q96/P96</f>
        <v>217.71</v>
      </c>
    </row>
    <row r="97" spans="2:19" s="25" customFormat="1" ht="20.25" x14ac:dyDescent="0.3">
      <c r="B97" s="16">
        <f t="shared" si="22"/>
        <v>89</v>
      </c>
      <c r="C97" s="17" t="s">
        <v>28</v>
      </c>
      <c r="D97" s="17" t="s">
        <v>29</v>
      </c>
      <c r="E97" s="18" t="s">
        <v>171</v>
      </c>
      <c r="F97" s="18" t="s">
        <v>172</v>
      </c>
      <c r="G97" s="19">
        <f t="shared" si="12"/>
        <v>47</v>
      </c>
      <c r="H97" s="19">
        <f t="shared" si="24"/>
        <v>1941.1</v>
      </c>
      <c r="I97" s="20" t="s">
        <v>22</v>
      </c>
      <c r="J97" s="21">
        <v>60</v>
      </c>
      <c r="K97" s="22">
        <v>35</v>
      </c>
      <c r="L97" s="22">
        <f>+K97*18%</f>
        <v>6.3</v>
      </c>
      <c r="M97" s="22">
        <f t="shared" si="25"/>
        <v>41.3</v>
      </c>
      <c r="N97" s="23">
        <f t="shared" si="26"/>
        <v>2478</v>
      </c>
      <c r="O97" s="23">
        <f>3+6+2+2</f>
        <v>13</v>
      </c>
      <c r="P97" s="22">
        <f t="shared" si="13"/>
        <v>47</v>
      </c>
      <c r="Q97" s="22">
        <f t="shared" si="27"/>
        <v>1941.1</v>
      </c>
      <c r="R97" s="20" t="s">
        <v>32</v>
      </c>
      <c r="S97" s="24">
        <f t="shared" si="28"/>
        <v>41.3</v>
      </c>
    </row>
    <row r="98" spans="2:19" s="25" customFormat="1" ht="20.25" x14ac:dyDescent="0.3">
      <c r="B98" s="16">
        <f t="shared" si="22"/>
        <v>90</v>
      </c>
      <c r="C98" s="17">
        <v>43609</v>
      </c>
      <c r="D98" s="17">
        <v>43612</v>
      </c>
      <c r="E98" s="18" t="s">
        <v>173</v>
      </c>
      <c r="F98" s="18" t="s">
        <v>174</v>
      </c>
      <c r="G98" s="19">
        <f t="shared" si="12"/>
        <v>37</v>
      </c>
      <c r="H98" s="19">
        <f t="shared" si="24"/>
        <v>785.88</v>
      </c>
      <c r="I98" s="20" t="s">
        <v>22</v>
      </c>
      <c r="J98" s="21">
        <v>60</v>
      </c>
      <c r="K98" s="22">
        <v>18</v>
      </c>
      <c r="L98" s="22">
        <f>+K98*18%</f>
        <v>3.2399999999999998</v>
      </c>
      <c r="M98" s="22">
        <f t="shared" si="25"/>
        <v>21.24</v>
      </c>
      <c r="N98" s="23">
        <f t="shared" si="26"/>
        <v>1274.3999999999999</v>
      </c>
      <c r="O98" s="23">
        <f>6+4+6+6+1</f>
        <v>23</v>
      </c>
      <c r="P98" s="22">
        <f t="shared" si="13"/>
        <v>37</v>
      </c>
      <c r="Q98" s="22">
        <f t="shared" si="27"/>
        <v>785.88</v>
      </c>
      <c r="R98" s="20" t="s">
        <v>32</v>
      </c>
      <c r="S98" s="24">
        <f t="shared" si="28"/>
        <v>21.24</v>
      </c>
    </row>
    <row r="99" spans="2:19" s="25" customFormat="1" ht="20.25" x14ac:dyDescent="0.3">
      <c r="B99" s="16">
        <f t="shared" si="22"/>
        <v>91</v>
      </c>
      <c r="C99" s="17">
        <v>43830</v>
      </c>
      <c r="D99" s="17">
        <v>43494</v>
      </c>
      <c r="E99" s="18" t="s">
        <v>175</v>
      </c>
      <c r="F99" s="18" t="s">
        <v>176</v>
      </c>
      <c r="G99" s="19">
        <f t="shared" si="12"/>
        <v>1</v>
      </c>
      <c r="H99" s="19">
        <f t="shared" si="24"/>
        <v>500</v>
      </c>
      <c r="I99" s="20" t="s">
        <v>22</v>
      </c>
      <c r="J99" s="21">
        <v>5</v>
      </c>
      <c r="K99" s="22">
        <v>500</v>
      </c>
      <c r="L99" s="22">
        <v>0</v>
      </c>
      <c r="M99" s="22">
        <f t="shared" si="25"/>
        <v>500</v>
      </c>
      <c r="N99" s="23">
        <f t="shared" si="26"/>
        <v>2500</v>
      </c>
      <c r="O99" s="23">
        <f>2+1+1</f>
        <v>4</v>
      </c>
      <c r="P99" s="22">
        <f t="shared" si="13"/>
        <v>1</v>
      </c>
      <c r="Q99" s="22">
        <f t="shared" si="27"/>
        <v>500</v>
      </c>
      <c r="R99" s="20" t="s">
        <v>25</v>
      </c>
      <c r="S99" s="24">
        <f t="shared" si="28"/>
        <v>500</v>
      </c>
    </row>
    <row r="100" spans="2:19" s="25" customFormat="1" ht="20.25" x14ac:dyDescent="0.3">
      <c r="B100" s="16">
        <f t="shared" si="22"/>
        <v>92</v>
      </c>
      <c r="C100" s="17">
        <v>43657</v>
      </c>
      <c r="D100" s="17">
        <v>43677</v>
      </c>
      <c r="E100" s="18" t="s">
        <v>175</v>
      </c>
      <c r="F100" s="18" t="s">
        <v>176</v>
      </c>
      <c r="G100" s="19">
        <f t="shared" si="12"/>
        <v>15</v>
      </c>
      <c r="H100" s="19">
        <f t="shared" si="24"/>
        <v>8940</v>
      </c>
      <c r="I100" s="20" t="s">
        <v>22</v>
      </c>
      <c r="J100" s="21">
        <v>15</v>
      </c>
      <c r="K100" s="22">
        <f>596</f>
        <v>596</v>
      </c>
      <c r="L100" s="22">
        <v>0</v>
      </c>
      <c r="M100" s="22">
        <f t="shared" si="25"/>
        <v>596</v>
      </c>
      <c r="N100" s="23">
        <f t="shared" si="26"/>
        <v>8940</v>
      </c>
      <c r="O100" s="23"/>
      <c r="P100" s="22">
        <f t="shared" si="13"/>
        <v>15</v>
      </c>
      <c r="Q100" s="22">
        <f t="shared" si="27"/>
        <v>8940</v>
      </c>
      <c r="R100" s="20" t="s">
        <v>54</v>
      </c>
      <c r="S100" s="24">
        <f t="shared" si="28"/>
        <v>596</v>
      </c>
    </row>
    <row r="101" spans="2:19" s="25" customFormat="1" ht="20.25" x14ac:dyDescent="0.3">
      <c r="B101" s="16">
        <f t="shared" si="22"/>
        <v>93</v>
      </c>
      <c r="C101" s="17">
        <v>43318</v>
      </c>
      <c r="D101" s="17">
        <v>43319</v>
      </c>
      <c r="E101" s="18" t="s">
        <v>177</v>
      </c>
      <c r="F101" s="18" t="s">
        <v>178</v>
      </c>
      <c r="G101" s="19">
        <f t="shared" si="12"/>
        <v>26</v>
      </c>
      <c r="H101" s="19">
        <f t="shared" si="24"/>
        <v>6136</v>
      </c>
      <c r="I101" s="20" t="s">
        <v>22</v>
      </c>
      <c r="J101" s="21">
        <v>33</v>
      </c>
      <c r="K101" s="22">
        <v>200</v>
      </c>
      <c r="L101" s="22">
        <f t="shared" ref="L101:L107" si="29">+K101*18%</f>
        <v>36</v>
      </c>
      <c r="M101" s="22">
        <f t="shared" si="25"/>
        <v>236</v>
      </c>
      <c r="N101" s="23">
        <f t="shared" si="26"/>
        <v>7788</v>
      </c>
      <c r="O101" s="23">
        <f>3+2+2</f>
        <v>7</v>
      </c>
      <c r="P101" s="22">
        <f t="shared" si="13"/>
        <v>26</v>
      </c>
      <c r="Q101" s="22">
        <f t="shared" si="27"/>
        <v>6136</v>
      </c>
      <c r="R101" s="20"/>
      <c r="S101" s="24">
        <f t="shared" si="28"/>
        <v>236</v>
      </c>
    </row>
    <row r="102" spans="2:19" s="25" customFormat="1" ht="20.25" x14ac:dyDescent="0.3">
      <c r="B102" s="16">
        <f t="shared" si="22"/>
        <v>94</v>
      </c>
      <c r="C102" s="17">
        <v>43318</v>
      </c>
      <c r="D102" s="17">
        <v>43319</v>
      </c>
      <c r="E102" s="18" t="s">
        <v>179</v>
      </c>
      <c r="F102" s="18" t="s">
        <v>180</v>
      </c>
      <c r="G102" s="19">
        <f t="shared" si="12"/>
        <v>1</v>
      </c>
      <c r="H102" s="19">
        <f t="shared" si="24"/>
        <v>135.71180000000001</v>
      </c>
      <c r="I102" s="20" t="s">
        <v>22</v>
      </c>
      <c r="J102" s="21">
        <v>1</v>
      </c>
      <c r="K102" s="22">
        <v>115.01</v>
      </c>
      <c r="L102" s="22">
        <f t="shared" si="29"/>
        <v>20.701799999999999</v>
      </c>
      <c r="M102" s="22">
        <f t="shared" si="25"/>
        <v>135.71180000000001</v>
      </c>
      <c r="N102" s="23">
        <f t="shared" si="26"/>
        <v>135.71180000000001</v>
      </c>
      <c r="O102" s="23">
        <v>0</v>
      </c>
      <c r="P102" s="22">
        <f t="shared" si="13"/>
        <v>1</v>
      </c>
      <c r="Q102" s="22">
        <f t="shared" si="27"/>
        <v>135.71180000000001</v>
      </c>
      <c r="S102" s="24">
        <f t="shared" si="28"/>
        <v>135.71180000000001</v>
      </c>
    </row>
    <row r="103" spans="2:19" s="25" customFormat="1" ht="20.25" x14ac:dyDescent="0.3">
      <c r="B103" s="16">
        <f t="shared" si="22"/>
        <v>95</v>
      </c>
      <c r="C103" s="17">
        <v>43318</v>
      </c>
      <c r="D103" s="17">
        <v>43319</v>
      </c>
      <c r="E103" s="18" t="s">
        <v>181</v>
      </c>
      <c r="F103" s="18" t="s">
        <v>182</v>
      </c>
      <c r="G103" s="19">
        <f t="shared" si="12"/>
        <v>1</v>
      </c>
      <c r="H103" s="19">
        <f t="shared" si="24"/>
        <v>141.6</v>
      </c>
      <c r="I103" s="20" t="s">
        <v>22</v>
      </c>
      <c r="J103" s="21">
        <v>25</v>
      </c>
      <c r="K103" s="22">
        <v>120</v>
      </c>
      <c r="L103" s="22">
        <f t="shared" si="29"/>
        <v>21.599999999999998</v>
      </c>
      <c r="M103" s="22">
        <f t="shared" si="25"/>
        <v>141.6</v>
      </c>
      <c r="N103" s="23">
        <f t="shared" si="26"/>
        <v>3540</v>
      </c>
      <c r="O103" s="23">
        <f>15+1+2+1+2+1+2</f>
        <v>24</v>
      </c>
      <c r="P103" s="22">
        <f t="shared" si="13"/>
        <v>1</v>
      </c>
      <c r="Q103" s="22">
        <f t="shared" si="27"/>
        <v>141.6</v>
      </c>
      <c r="S103" s="24">
        <f t="shared" si="28"/>
        <v>141.6</v>
      </c>
    </row>
    <row r="104" spans="2:19" s="25" customFormat="1" ht="20.25" x14ac:dyDescent="0.3">
      <c r="B104" s="16">
        <f t="shared" si="22"/>
        <v>96</v>
      </c>
      <c r="C104" s="17">
        <v>43609</v>
      </c>
      <c r="D104" s="17">
        <v>43612</v>
      </c>
      <c r="E104" s="18" t="s">
        <v>181</v>
      </c>
      <c r="F104" s="18" t="s">
        <v>182</v>
      </c>
      <c r="G104" s="19">
        <f t="shared" si="12"/>
        <v>2</v>
      </c>
      <c r="H104" s="19">
        <f t="shared" si="24"/>
        <v>188.8</v>
      </c>
      <c r="I104" s="20" t="s">
        <v>22</v>
      </c>
      <c r="J104" s="21">
        <v>5</v>
      </c>
      <c r="K104" s="22">
        <v>80</v>
      </c>
      <c r="L104" s="22">
        <f t="shared" si="29"/>
        <v>14.399999999999999</v>
      </c>
      <c r="M104" s="22">
        <f t="shared" si="25"/>
        <v>94.4</v>
      </c>
      <c r="N104" s="23">
        <f t="shared" si="26"/>
        <v>472</v>
      </c>
      <c r="O104" s="23">
        <f>1+2</f>
        <v>3</v>
      </c>
      <c r="P104" s="22">
        <f t="shared" si="13"/>
        <v>2</v>
      </c>
      <c r="Q104" s="22">
        <f t="shared" si="27"/>
        <v>188.8</v>
      </c>
      <c r="R104" s="20" t="s">
        <v>25</v>
      </c>
      <c r="S104" s="24">
        <f t="shared" si="28"/>
        <v>94.4</v>
      </c>
    </row>
    <row r="105" spans="2:19" s="25" customFormat="1" ht="21.75" customHeight="1" x14ac:dyDescent="0.3">
      <c r="B105" s="16">
        <f t="shared" si="22"/>
        <v>97</v>
      </c>
      <c r="C105" s="17">
        <v>43609</v>
      </c>
      <c r="D105" s="17">
        <v>43612</v>
      </c>
      <c r="E105" s="18" t="s">
        <v>183</v>
      </c>
      <c r="F105" s="18" t="s">
        <v>184</v>
      </c>
      <c r="G105" s="19">
        <f t="shared" si="12"/>
        <v>1</v>
      </c>
      <c r="H105" s="19">
        <f t="shared" si="24"/>
        <v>118</v>
      </c>
      <c r="I105" s="20" t="s">
        <v>22</v>
      </c>
      <c r="J105" s="21">
        <v>4</v>
      </c>
      <c r="K105" s="22">
        <v>100</v>
      </c>
      <c r="L105" s="22">
        <f t="shared" si="29"/>
        <v>18</v>
      </c>
      <c r="M105" s="22">
        <f t="shared" si="25"/>
        <v>118</v>
      </c>
      <c r="N105" s="23">
        <f t="shared" si="26"/>
        <v>472</v>
      </c>
      <c r="O105" s="23">
        <f>1+2</f>
        <v>3</v>
      </c>
      <c r="P105" s="22">
        <f t="shared" si="13"/>
        <v>1</v>
      </c>
      <c r="Q105" s="22">
        <f t="shared" si="27"/>
        <v>118</v>
      </c>
      <c r="R105" s="20"/>
      <c r="S105" s="24">
        <f t="shared" si="28"/>
        <v>118</v>
      </c>
    </row>
    <row r="106" spans="2:19" s="25" customFormat="1" ht="20.25" x14ac:dyDescent="0.3">
      <c r="B106" s="16">
        <f t="shared" si="22"/>
        <v>98</v>
      </c>
      <c r="C106" s="17">
        <v>43318</v>
      </c>
      <c r="D106" s="17">
        <v>43319</v>
      </c>
      <c r="E106" s="18" t="s">
        <v>177</v>
      </c>
      <c r="F106" s="18" t="s">
        <v>185</v>
      </c>
      <c r="G106" s="19">
        <f t="shared" si="12"/>
        <v>4</v>
      </c>
      <c r="H106" s="19">
        <f t="shared" si="24"/>
        <v>448.4</v>
      </c>
      <c r="I106" s="20" t="s">
        <v>22</v>
      </c>
      <c r="J106" s="21">
        <v>10</v>
      </c>
      <c r="K106" s="22">
        <v>95</v>
      </c>
      <c r="L106" s="22">
        <f t="shared" si="29"/>
        <v>17.099999999999998</v>
      </c>
      <c r="M106" s="22">
        <f t="shared" si="25"/>
        <v>112.1</v>
      </c>
      <c r="N106" s="23">
        <f t="shared" si="26"/>
        <v>1121</v>
      </c>
      <c r="O106" s="23">
        <f>2+1+1+2</f>
        <v>6</v>
      </c>
      <c r="P106" s="22">
        <f t="shared" si="13"/>
        <v>4</v>
      </c>
      <c r="Q106" s="22">
        <f t="shared" si="27"/>
        <v>448.4</v>
      </c>
      <c r="R106" s="20" t="s">
        <v>25</v>
      </c>
      <c r="S106" s="24">
        <f t="shared" si="28"/>
        <v>112.1</v>
      </c>
    </row>
    <row r="107" spans="2:19" s="25" customFormat="1" ht="20.25" x14ac:dyDescent="0.3">
      <c r="B107" s="16">
        <f t="shared" si="22"/>
        <v>99</v>
      </c>
      <c r="C107" s="17">
        <v>43318</v>
      </c>
      <c r="D107" s="17">
        <v>43319</v>
      </c>
      <c r="E107" s="18" t="s">
        <v>181</v>
      </c>
      <c r="F107" s="18" t="s">
        <v>186</v>
      </c>
      <c r="G107" s="19">
        <f t="shared" si="12"/>
        <v>15</v>
      </c>
      <c r="H107" s="19">
        <f t="shared" si="24"/>
        <v>3540</v>
      </c>
      <c r="I107" s="20" t="s">
        <v>22</v>
      </c>
      <c r="J107" s="21">
        <v>20</v>
      </c>
      <c r="K107" s="22">
        <v>200</v>
      </c>
      <c r="L107" s="22">
        <f t="shared" si="29"/>
        <v>36</v>
      </c>
      <c r="M107" s="22">
        <f t="shared" si="25"/>
        <v>236</v>
      </c>
      <c r="N107" s="23">
        <f t="shared" si="26"/>
        <v>4720</v>
      </c>
      <c r="O107" s="28">
        <f>1+1+2+1</f>
        <v>5</v>
      </c>
      <c r="P107" s="22">
        <f t="shared" si="13"/>
        <v>15</v>
      </c>
      <c r="Q107" s="22">
        <f t="shared" si="27"/>
        <v>3540</v>
      </c>
      <c r="R107" s="20"/>
      <c r="S107" s="24">
        <f t="shared" si="28"/>
        <v>236</v>
      </c>
    </row>
    <row r="108" spans="2:19" s="25" customFormat="1" ht="20.25" x14ac:dyDescent="0.3">
      <c r="B108" s="16">
        <f t="shared" si="22"/>
        <v>100</v>
      </c>
      <c r="C108" s="17">
        <v>44014</v>
      </c>
      <c r="D108" s="17">
        <v>44033</v>
      </c>
      <c r="E108" s="18" t="s">
        <v>187</v>
      </c>
      <c r="F108" s="18" t="s">
        <v>188</v>
      </c>
      <c r="G108" s="19">
        <f t="shared" si="12"/>
        <v>6</v>
      </c>
      <c r="H108" s="19">
        <f t="shared" si="24"/>
        <v>672.59999999999991</v>
      </c>
      <c r="I108" s="20" t="s">
        <v>22</v>
      </c>
      <c r="J108" s="21">
        <v>10</v>
      </c>
      <c r="K108" s="22">
        <v>95</v>
      </c>
      <c r="L108" s="22">
        <f>$K108*18%</f>
        <v>17.099999999999998</v>
      </c>
      <c r="M108" s="22">
        <f t="shared" si="25"/>
        <v>112.1</v>
      </c>
      <c r="N108" s="23">
        <f t="shared" si="26"/>
        <v>1121</v>
      </c>
      <c r="O108" s="23">
        <f>2+2</f>
        <v>4</v>
      </c>
      <c r="P108" s="22">
        <f t="shared" si="13"/>
        <v>6</v>
      </c>
      <c r="Q108" s="22">
        <f t="shared" si="27"/>
        <v>672.59999999999991</v>
      </c>
      <c r="R108" s="20" t="s">
        <v>25</v>
      </c>
      <c r="S108" s="24">
        <f t="shared" si="28"/>
        <v>112.09999999999998</v>
      </c>
    </row>
    <row r="109" spans="2:19" s="25" customFormat="1" ht="20.25" x14ac:dyDescent="0.3">
      <c r="B109" s="16">
        <f t="shared" si="22"/>
        <v>101</v>
      </c>
      <c r="C109" s="17">
        <v>43318</v>
      </c>
      <c r="D109" s="17">
        <v>43319</v>
      </c>
      <c r="E109" s="18" t="s">
        <v>177</v>
      </c>
      <c r="F109" s="18" t="s">
        <v>189</v>
      </c>
      <c r="G109" s="19">
        <f t="shared" si="12"/>
        <v>21</v>
      </c>
      <c r="H109" s="19">
        <f t="shared" si="24"/>
        <v>3221.4</v>
      </c>
      <c r="I109" s="20" t="s">
        <v>22</v>
      </c>
      <c r="J109" s="21">
        <v>27</v>
      </c>
      <c r="K109" s="22">
        <v>130</v>
      </c>
      <c r="L109" s="22">
        <f>+K109*18%</f>
        <v>23.4</v>
      </c>
      <c r="M109" s="22">
        <f t="shared" si="25"/>
        <v>153.4</v>
      </c>
      <c r="N109" s="23">
        <f t="shared" si="26"/>
        <v>4141.8</v>
      </c>
      <c r="O109" s="23">
        <f>1+1+1+3+0</f>
        <v>6</v>
      </c>
      <c r="P109" s="22">
        <f t="shared" si="13"/>
        <v>21</v>
      </c>
      <c r="Q109" s="22">
        <f t="shared" si="27"/>
        <v>3221.4</v>
      </c>
      <c r="R109" s="20"/>
      <c r="S109" s="24">
        <f t="shared" si="28"/>
        <v>153.4</v>
      </c>
    </row>
    <row r="110" spans="2:19" s="25" customFormat="1" ht="20.25" x14ac:dyDescent="0.3">
      <c r="B110" s="16">
        <f t="shared" si="22"/>
        <v>102</v>
      </c>
      <c r="C110" s="17">
        <v>43609</v>
      </c>
      <c r="D110" s="17">
        <v>43612</v>
      </c>
      <c r="E110" s="18" t="s">
        <v>179</v>
      </c>
      <c r="F110" s="18" t="s">
        <v>190</v>
      </c>
      <c r="G110" s="19">
        <f t="shared" si="12"/>
        <v>10</v>
      </c>
      <c r="H110" s="19">
        <f t="shared" si="24"/>
        <v>1770</v>
      </c>
      <c r="I110" s="20" t="s">
        <v>22</v>
      </c>
      <c r="J110" s="21">
        <v>10</v>
      </c>
      <c r="K110" s="22">
        <v>150</v>
      </c>
      <c r="L110" s="22">
        <f>+K110*18%</f>
        <v>27</v>
      </c>
      <c r="M110" s="22">
        <f t="shared" si="25"/>
        <v>177</v>
      </c>
      <c r="N110" s="23">
        <f t="shared" si="26"/>
        <v>1770</v>
      </c>
      <c r="O110" s="23"/>
      <c r="P110" s="22">
        <f t="shared" si="13"/>
        <v>10</v>
      </c>
      <c r="Q110" s="22">
        <f t="shared" si="27"/>
        <v>1770</v>
      </c>
      <c r="R110" s="20" t="s">
        <v>25</v>
      </c>
      <c r="S110" s="24">
        <f t="shared" si="28"/>
        <v>177</v>
      </c>
    </row>
    <row r="111" spans="2:19" s="25" customFormat="1" ht="20.25" x14ac:dyDescent="0.3">
      <c r="B111" s="16">
        <f t="shared" si="22"/>
        <v>103</v>
      </c>
      <c r="C111" s="17">
        <v>43609</v>
      </c>
      <c r="D111" s="17">
        <v>43612</v>
      </c>
      <c r="E111" s="18" t="s">
        <v>177</v>
      </c>
      <c r="F111" s="18" t="s">
        <v>191</v>
      </c>
      <c r="G111" s="19">
        <f t="shared" ref="G111:G174" si="30">$J111-$O111</f>
        <v>22</v>
      </c>
      <c r="H111" s="19">
        <f t="shared" si="24"/>
        <v>3115.2</v>
      </c>
      <c r="I111" s="20" t="s">
        <v>22</v>
      </c>
      <c r="J111" s="21">
        <v>22</v>
      </c>
      <c r="K111" s="22">
        <v>120</v>
      </c>
      <c r="L111" s="22">
        <f>+K111*18%</f>
        <v>21.599999999999998</v>
      </c>
      <c r="M111" s="22">
        <f t="shared" si="25"/>
        <v>141.6</v>
      </c>
      <c r="N111" s="23">
        <f t="shared" si="26"/>
        <v>3115.2</v>
      </c>
      <c r="O111" s="23"/>
      <c r="P111" s="22">
        <f t="shared" ref="P111:P174" si="31">$J111-$O111</f>
        <v>22</v>
      </c>
      <c r="Q111" s="22">
        <f t="shared" si="27"/>
        <v>3115.2</v>
      </c>
      <c r="R111" s="20"/>
      <c r="S111" s="24">
        <f t="shared" si="28"/>
        <v>141.6</v>
      </c>
    </row>
    <row r="112" spans="2:19" s="25" customFormat="1" ht="20.25" x14ac:dyDescent="0.3">
      <c r="B112" s="16">
        <f>+B111+1</f>
        <v>104</v>
      </c>
      <c r="C112" s="17" t="s">
        <v>28</v>
      </c>
      <c r="D112" s="17" t="s">
        <v>29</v>
      </c>
      <c r="E112" s="18" t="s">
        <v>192</v>
      </c>
      <c r="F112" s="18" t="s">
        <v>193</v>
      </c>
      <c r="G112" s="19">
        <f t="shared" si="30"/>
        <v>17</v>
      </c>
      <c r="H112" s="19">
        <f t="shared" si="24"/>
        <v>14042</v>
      </c>
      <c r="I112" s="20" t="s">
        <v>22</v>
      </c>
      <c r="J112" s="21">
        <v>40</v>
      </c>
      <c r="K112" s="22">
        <v>700</v>
      </c>
      <c r="L112" s="22">
        <f t="shared" ref="L112:L124" si="32">+K112*18%</f>
        <v>126</v>
      </c>
      <c r="M112" s="22">
        <f t="shared" si="25"/>
        <v>826</v>
      </c>
      <c r="N112" s="23">
        <f t="shared" si="26"/>
        <v>33040</v>
      </c>
      <c r="O112" s="28">
        <f>2+1+1+1+4+1+1+1+1+2+1+2+1+2+1+1</f>
        <v>23</v>
      </c>
      <c r="P112" s="22">
        <f t="shared" si="31"/>
        <v>17</v>
      </c>
      <c r="Q112" s="22">
        <f t="shared" si="27"/>
        <v>14042</v>
      </c>
      <c r="R112" s="20" t="s">
        <v>32</v>
      </c>
      <c r="S112" s="24"/>
    </row>
    <row r="113" spans="2:19" s="25" customFormat="1" ht="20.25" x14ac:dyDescent="0.3">
      <c r="B113" s="16">
        <f t="shared" si="22"/>
        <v>105</v>
      </c>
      <c r="C113" s="17">
        <v>43252</v>
      </c>
      <c r="D113" s="17">
        <v>43252</v>
      </c>
      <c r="E113" s="18" t="s">
        <v>194</v>
      </c>
      <c r="F113" s="18" t="s">
        <v>195</v>
      </c>
      <c r="G113" s="19">
        <f t="shared" si="30"/>
        <v>4</v>
      </c>
      <c r="H113" s="19">
        <f t="shared" si="24"/>
        <v>7405.68</v>
      </c>
      <c r="I113" s="20" t="s">
        <v>196</v>
      </c>
      <c r="J113" s="21">
        <v>4</v>
      </c>
      <c r="K113" s="22">
        <v>1569</v>
      </c>
      <c r="L113" s="22">
        <f t="shared" si="32"/>
        <v>282.42</v>
      </c>
      <c r="M113" s="22">
        <f t="shared" si="25"/>
        <v>1851.42</v>
      </c>
      <c r="N113" s="23">
        <f t="shared" si="26"/>
        <v>7405.68</v>
      </c>
      <c r="O113" s="23"/>
      <c r="P113" s="22">
        <f t="shared" si="31"/>
        <v>4</v>
      </c>
      <c r="Q113" s="22">
        <f t="shared" si="27"/>
        <v>7405.68</v>
      </c>
      <c r="R113" s="20"/>
      <c r="S113" s="24">
        <f>Q113/P113</f>
        <v>1851.42</v>
      </c>
    </row>
    <row r="114" spans="2:19" s="25" customFormat="1" ht="20.25" x14ac:dyDescent="0.3">
      <c r="B114" s="16">
        <f t="shared" si="22"/>
        <v>106</v>
      </c>
      <c r="C114" s="17" t="s">
        <v>197</v>
      </c>
      <c r="D114" s="17" t="s">
        <v>29</v>
      </c>
      <c r="E114" s="18" t="s">
        <v>198</v>
      </c>
      <c r="F114" s="18" t="s">
        <v>199</v>
      </c>
      <c r="G114" s="19">
        <f t="shared" si="30"/>
        <v>21</v>
      </c>
      <c r="H114" s="19">
        <f t="shared" si="24"/>
        <v>4212.5999999999995</v>
      </c>
      <c r="I114" s="20" t="s">
        <v>22</v>
      </c>
      <c r="J114" s="21">
        <f>110+50</f>
        <v>160</v>
      </c>
      <c r="K114" s="22">
        <v>170</v>
      </c>
      <c r="L114" s="22">
        <f t="shared" si="32"/>
        <v>30.599999999999998</v>
      </c>
      <c r="M114" s="22">
        <f t="shared" si="25"/>
        <v>200.6</v>
      </c>
      <c r="N114" s="23">
        <f t="shared" si="26"/>
        <v>32096</v>
      </c>
      <c r="O114" s="28">
        <f>1+4+3+2+6+10+1+3+2+2+34+2+6+3+1+1+1+2+2+1+1+1+1+2+1+1+1+2+1+2+2+2+2+1+1+2+1+1+2+2+2+2+5+1+2+1+1+1+1+2+3+2</f>
        <v>139</v>
      </c>
      <c r="P114" s="22">
        <f t="shared" si="31"/>
        <v>21</v>
      </c>
      <c r="Q114" s="22">
        <f t="shared" si="27"/>
        <v>4212.5999999999995</v>
      </c>
      <c r="R114" s="20" t="s">
        <v>32</v>
      </c>
      <c r="S114" s="24"/>
    </row>
    <row r="115" spans="2:19" s="25" customFormat="1" ht="20.25" x14ac:dyDescent="0.3">
      <c r="B115" s="16">
        <f>+B114+1</f>
        <v>107</v>
      </c>
      <c r="C115" s="17">
        <v>43252</v>
      </c>
      <c r="D115" s="17">
        <v>43253</v>
      </c>
      <c r="E115" s="18" t="s">
        <v>200</v>
      </c>
      <c r="F115" s="18" t="s">
        <v>201</v>
      </c>
      <c r="G115" s="19">
        <f t="shared" si="30"/>
        <v>1</v>
      </c>
      <c r="H115" s="19">
        <f t="shared" si="24"/>
        <v>2596</v>
      </c>
      <c r="I115" s="20" t="s">
        <v>202</v>
      </c>
      <c r="J115" s="21">
        <v>2</v>
      </c>
      <c r="K115" s="22">
        <v>2200</v>
      </c>
      <c r="L115" s="22">
        <f t="shared" si="32"/>
        <v>396</v>
      </c>
      <c r="M115" s="22">
        <f t="shared" si="25"/>
        <v>2596</v>
      </c>
      <c r="N115" s="23">
        <f t="shared" si="26"/>
        <v>5192</v>
      </c>
      <c r="O115" s="23">
        <v>1</v>
      </c>
      <c r="P115" s="22">
        <f t="shared" si="31"/>
        <v>1</v>
      </c>
      <c r="Q115" s="22">
        <f t="shared" si="27"/>
        <v>2596</v>
      </c>
      <c r="R115" s="20"/>
      <c r="S115" s="24">
        <f>Q115/P115</f>
        <v>2596</v>
      </c>
    </row>
    <row r="116" spans="2:19" s="25" customFormat="1" ht="20.25" x14ac:dyDescent="0.3">
      <c r="B116" s="16">
        <f t="shared" si="22"/>
        <v>108</v>
      </c>
      <c r="C116" s="17">
        <v>43252</v>
      </c>
      <c r="D116" s="17">
        <v>43253</v>
      </c>
      <c r="E116" s="18" t="s">
        <v>203</v>
      </c>
      <c r="F116" s="18" t="s">
        <v>204</v>
      </c>
      <c r="G116" s="19">
        <f t="shared" si="30"/>
        <v>1</v>
      </c>
      <c r="H116" s="19">
        <f t="shared" si="24"/>
        <v>973.5</v>
      </c>
      <c r="I116" s="20" t="s">
        <v>22</v>
      </c>
      <c r="J116" s="21">
        <v>4</v>
      </c>
      <c r="K116" s="22">
        <v>825</v>
      </c>
      <c r="L116" s="22">
        <f t="shared" si="32"/>
        <v>148.5</v>
      </c>
      <c r="M116" s="22">
        <f t="shared" si="25"/>
        <v>973.5</v>
      </c>
      <c r="N116" s="23">
        <f t="shared" si="26"/>
        <v>3894</v>
      </c>
      <c r="O116" s="23">
        <f>2+1</f>
        <v>3</v>
      </c>
      <c r="P116" s="22">
        <f t="shared" si="31"/>
        <v>1</v>
      </c>
      <c r="Q116" s="22">
        <f t="shared" si="27"/>
        <v>973.5</v>
      </c>
      <c r="R116" s="20"/>
      <c r="S116" s="24">
        <f>Q116/P116</f>
        <v>973.5</v>
      </c>
    </row>
    <row r="117" spans="2:19" s="25" customFormat="1" ht="20.25" x14ac:dyDescent="0.3">
      <c r="B117" s="16">
        <f t="shared" si="22"/>
        <v>109</v>
      </c>
      <c r="C117" s="17">
        <v>44162</v>
      </c>
      <c r="D117" s="17">
        <v>44187</v>
      </c>
      <c r="E117" s="18" t="s">
        <v>205</v>
      </c>
      <c r="F117" s="18" t="s">
        <v>206</v>
      </c>
      <c r="G117" s="19">
        <f t="shared" si="30"/>
        <v>53</v>
      </c>
      <c r="H117" s="19">
        <f t="shared" si="24"/>
        <v>2939.38</v>
      </c>
      <c r="I117" s="20" t="s">
        <v>22</v>
      </c>
      <c r="J117" s="21">
        <v>80</v>
      </c>
      <c r="K117" s="22">
        <v>47</v>
      </c>
      <c r="L117" s="22">
        <f t="shared" si="32"/>
        <v>8.4599999999999991</v>
      </c>
      <c r="M117" s="22">
        <f t="shared" si="25"/>
        <v>55.46</v>
      </c>
      <c r="N117" s="23">
        <f t="shared" si="26"/>
        <v>4436.8</v>
      </c>
      <c r="O117" s="28">
        <f>2+1+2+1+6+1+4+8+2</f>
        <v>27</v>
      </c>
      <c r="P117" s="22">
        <f t="shared" si="31"/>
        <v>53</v>
      </c>
      <c r="Q117" s="22">
        <f t="shared" si="27"/>
        <v>2939.38</v>
      </c>
      <c r="R117" s="20" t="s">
        <v>32</v>
      </c>
      <c r="S117" s="24"/>
    </row>
    <row r="118" spans="2:19" s="25" customFormat="1" ht="20.25" x14ac:dyDescent="0.3">
      <c r="B118" s="16">
        <f t="shared" si="22"/>
        <v>110</v>
      </c>
      <c r="C118" s="17">
        <v>44162</v>
      </c>
      <c r="D118" s="17">
        <v>44187</v>
      </c>
      <c r="E118" s="18" t="s">
        <v>207</v>
      </c>
      <c r="F118" s="18" t="s">
        <v>208</v>
      </c>
      <c r="G118" s="19">
        <f t="shared" si="30"/>
        <v>49</v>
      </c>
      <c r="H118" s="19">
        <f t="shared" si="24"/>
        <v>2891</v>
      </c>
      <c r="I118" s="20" t="s">
        <v>22</v>
      </c>
      <c r="J118" s="21">
        <v>80</v>
      </c>
      <c r="K118" s="22">
        <v>50</v>
      </c>
      <c r="L118" s="22">
        <f t="shared" si="32"/>
        <v>9</v>
      </c>
      <c r="M118" s="22">
        <f t="shared" si="25"/>
        <v>59</v>
      </c>
      <c r="N118" s="23">
        <f t="shared" si="26"/>
        <v>4720</v>
      </c>
      <c r="O118" s="28">
        <f>2+4+4+1+1+2+1+2+2+1+4+3+2+2</f>
        <v>31</v>
      </c>
      <c r="P118" s="22">
        <f t="shared" si="31"/>
        <v>49</v>
      </c>
      <c r="Q118" s="22">
        <f t="shared" si="27"/>
        <v>2891</v>
      </c>
      <c r="R118" s="20" t="s">
        <v>32</v>
      </c>
      <c r="S118" s="24"/>
    </row>
    <row r="119" spans="2:19" s="25" customFormat="1" ht="20.25" x14ac:dyDescent="0.3">
      <c r="B119" s="16">
        <f t="shared" si="22"/>
        <v>111</v>
      </c>
      <c r="C119" s="17">
        <v>44162</v>
      </c>
      <c r="D119" s="17">
        <v>44187</v>
      </c>
      <c r="E119" s="18" t="s">
        <v>209</v>
      </c>
      <c r="F119" s="18" t="s">
        <v>210</v>
      </c>
      <c r="G119" s="19">
        <f t="shared" si="30"/>
        <v>7</v>
      </c>
      <c r="H119" s="19">
        <f t="shared" si="24"/>
        <v>1239</v>
      </c>
      <c r="I119" s="20" t="s">
        <v>22</v>
      </c>
      <c r="J119" s="21">
        <v>10</v>
      </c>
      <c r="K119" s="22">
        <v>150</v>
      </c>
      <c r="L119" s="22">
        <f t="shared" si="32"/>
        <v>27</v>
      </c>
      <c r="M119" s="22">
        <f t="shared" si="25"/>
        <v>177</v>
      </c>
      <c r="N119" s="23">
        <f t="shared" si="26"/>
        <v>1770</v>
      </c>
      <c r="O119" s="23">
        <f>1+1+1</f>
        <v>3</v>
      </c>
      <c r="P119" s="22">
        <f t="shared" si="31"/>
        <v>7</v>
      </c>
      <c r="Q119" s="22">
        <f t="shared" si="27"/>
        <v>1239</v>
      </c>
      <c r="R119" s="20" t="s">
        <v>25</v>
      </c>
      <c r="S119" s="24">
        <f>Q119/P119</f>
        <v>177</v>
      </c>
    </row>
    <row r="120" spans="2:19" s="25" customFormat="1" ht="20.25" x14ac:dyDescent="0.3">
      <c r="B120" s="16">
        <f t="shared" si="22"/>
        <v>112</v>
      </c>
      <c r="C120" s="17">
        <v>43252</v>
      </c>
      <c r="D120" s="17">
        <v>43253</v>
      </c>
      <c r="E120" s="18" t="s">
        <v>211</v>
      </c>
      <c r="F120" s="18" t="s">
        <v>212</v>
      </c>
      <c r="G120" s="19">
        <f t="shared" si="30"/>
        <v>1</v>
      </c>
      <c r="H120" s="19">
        <f t="shared" si="24"/>
        <v>177</v>
      </c>
      <c r="I120" s="20" t="s">
        <v>22</v>
      </c>
      <c r="J120" s="21">
        <v>5</v>
      </c>
      <c r="K120" s="22">
        <v>150</v>
      </c>
      <c r="L120" s="22">
        <f t="shared" si="32"/>
        <v>27</v>
      </c>
      <c r="M120" s="22">
        <f t="shared" si="25"/>
        <v>177</v>
      </c>
      <c r="N120" s="23">
        <f t="shared" si="26"/>
        <v>885</v>
      </c>
      <c r="O120" s="23">
        <f>1+1+1+1</f>
        <v>4</v>
      </c>
      <c r="P120" s="22">
        <f t="shared" si="31"/>
        <v>1</v>
      </c>
      <c r="Q120" s="22">
        <f t="shared" si="27"/>
        <v>177</v>
      </c>
      <c r="R120" s="20" t="s">
        <v>25</v>
      </c>
      <c r="S120" s="24">
        <f>Q120/P120</f>
        <v>177</v>
      </c>
    </row>
    <row r="121" spans="2:19" s="25" customFormat="1" ht="20.25" x14ac:dyDescent="0.3">
      <c r="B121" s="16">
        <f t="shared" si="22"/>
        <v>113</v>
      </c>
      <c r="C121" s="17">
        <v>43830</v>
      </c>
      <c r="D121" s="17">
        <v>43859</v>
      </c>
      <c r="E121" s="18" t="s">
        <v>211</v>
      </c>
      <c r="F121" s="18" t="s">
        <v>213</v>
      </c>
      <c r="G121" s="19">
        <f t="shared" si="30"/>
        <v>2</v>
      </c>
      <c r="H121" s="19">
        <f t="shared" si="24"/>
        <v>200.6</v>
      </c>
      <c r="I121" s="20" t="s">
        <v>22</v>
      </c>
      <c r="J121" s="21">
        <v>5</v>
      </c>
      <c r="K121" s="22">
        <v>85</v>
      </c>
      <c r="L121" s="22">
        <f t="shared" si="32"/>
        <v>15.299999999999999</v>
      </c>
      <c r="M121" s="22">
        <f t="shared" si="25"/>
        <v>100.3</v>
      </c>
      <c r="N121" s="23">
        <f t="shared" si="26"/>
        <v>501.5</v>
      </c>
      <c r="O121" s="23">
        <v>3</v>
      </c>
      <c r="P121" s="22">
        <f t="shared" si="31"/>
        <v>2</v>
      </c>
      <c r="Q121" s="22">
        <f t="shared" si="27"/>
        <v>200.6</v>
      </c>
      <c r="R121" s="20" t="s">
        <v>32</v>
      </c>
      <c r="S121" s="24"/>
    </row>
    <row r="122" spans="2:19" s="25" customFormat="1" ht="20.25" x14ac:dyDescent="0.3">
      <c r="B122" s="16">
        <f t="shared" si="22"/>
        <v>114</v>
      </c>
      <c r="C122" s="17">
        <v>44162</v>
      </c>
      <c r="D122" s="17">
        <v>44187</v>
      </c>
      <c r="E122" s="18" t="s">
        <v>214</v>
      </c>
      <c r="F122" s="18" t="s">
        <v>215</v>
      </c>
      <c r="G122" s="19">
        <f t="shared" si="30"/>
        <v>6</v>
      </c>
      <c r="H122" s="19">
        <f t="shared" si="24"/>
        <v>3345.2999999999997</v>
      </c>
      <c r="I122" s="20" t="s">
        <v>22</v>
      </c>
      <c r="J122" s="21">
        <v>10</v>
      </c>
      <c r="K122" s="22">
        <v>472.5</v>
      </c>
      <c r="L122" s="22">
        <f t="shared" si="32"/>
        <v>85.05</v>
      </c>
      <c r="M122" s="22">
        <f t="shared" si="25"/>
        <v>557.54999999999995</v>
      </c>
      <c r="N122" s="23">
        <f t="shared" si="26"/>
        <v>5575.5</v>
      </c>
      <c r="O122" s="23">
        <f>1+1+2</f>
        <v>4</v>
      </c>
      <c r="P122" s="22">
        <f t="shared" si="31"/>
        <v>6</v>
      </c>
      <c r="Q122" s="22">
        <f t="shared" si="27"/>
        <v>3345.2999999999997</v>
      </c>
      <c r="R122" s="20"/>
      <c r="S122" s="24">
        <f>Q122/P122</f>
        <v>557.54999999999995</v>
      </c>
    </row>
    <row r="123" spans="2:19" s="25" customFormat="1" ht="20.25" x14ac:dyDescent="0.3">
      <c r="B123" s="16">
        <f t="shared" si="22"/>
        <v>115</v>
      </c>
      <c r="C123" s="17">
        <v>43830</v>
      </c>
      <c r="D123" s="17">
        <v>43859</v>
      </c>
      <c r="E123" s="18" t="s">
        <v>216</v>
      </c>
      <c r="F123" s="18" t="s">
        <v>217</v>
      </c>
      <c r="G123" s="19">
        <f t="shared" si="30"/>
        <v>4</v>
      </c>
      <c r="H123" s="19">
        <f t="shared" si="24"/>
        <v>372.88</v>
      </c>
      <c r="I123" s="20" t="s">
        <v>22</v>
      </c>
      <c r="J123" s="21">
        <v>5</v>
      </c>
      <c r="K123" s="22">
        <v>79</v>
      </c>
      <c r="L123" s="22">
        <f t="shared" si="32"/>
        <v>14.219999999999999</v>
      </c>
      <c r="M123" s="22">
        <f t="shared" si="25"/>
        <v>93.22</v>
      </c>
      <c r="N123" s="23">
        <f t="shared" si="26"/>
        <v>466.1</v>
      </c>
      <c r="O123" s="23">
        <v>1</v>
      </c>
      <c r="P123" s="22">
        <f t="shared" si="31"/>
        <v>4</v>
      </c>
      <c r="Q123" s="22">
        <f t="shared" si="27"/>
        <v>372.88</v>
      </c>
      <c r="R123" s="20"/>
      <c r="S123" s="24">
        <f>Q123/P123</f>
        <v>93.22</v>
      </c>
    </row>
    <row r="124" spans="2:19" s="25" customFormat="1" ht="20.25" x14ac:dyDescent="0.3">
      <c r="B124" s="16">
        <f t="shared" si="22"/>
        <v>116</v>
      </c>
      <c r="C124" s="17">
        <v>44162</v>
      </c>
      <c r="D124" s="17">
        <v>44187</v>
      </c>
      <c r="E124" s="18" t="s">
        <v>218</v>
      </c>
      <c r="F124" s="18" t="s">
        <v>219</v>
      </c>
      <c r="G124" s="19">
        <f t="shared" si="30"/>
        <v>82</v>
      </c>
      <c r="H124" s="19">
        <f t="shared" si="24"/>
        <v>26415.48</v>
      </c>
      <c r="I124" s="20" t="s">
        <v>22</v>
      </c>
      <c r="J124" s="21">
        <v>702</v>
      </c>
      <c r="K124" s="22">
        <v>273</v>
      </c>
      <c r="L124" s="22">
        <f t="shared" si="32"/>
        <v>49.14</v>
      </c>
      <c r="M124" s="22">
        <f t="shared" si="25"/>
        <v>322.14</v>
      </c>
      <c r="N124" s="23">
        <f t="shared" si="26"/>
        <v>226142.28</v>
      </c>
      <c r="O124" s="23">
        <f>443+2+1+20+2+6+2+20+30+10+20+2+38+2+6+10+4+2</f>
        <v>620</v>
      </c>
      <c r="P124" s="22">
        <f t="shared" si="31"/>
        <v>82</v>
      </c>
      <c r="Q124" s="22">
        <f t="shared" si="27"/>
        <v>26415.48</v>
      </c>
      <c r="R124" s="20"/>
      <c r="S124" s="24">
        <f>Q124/P124</f>
        <v>322.14</v>
      </c>
    </row>
    <row r="125" spans="2:19" s="25" customFormat="1" ht="20.25" x14ac:dyDescent="0.3">
      <c r="B125" s="16">
        <f>+B124+1</f>
        <v>117</v>
      </c>
      <c r="C125" s="17">
        <v>43609</v>
      </c>
      <c r="D125" s="17">
        <v>43612</v>
      </c>
      <c r="E125" s="18" t="s">
        <v>220</v>
      </c>
      <c r="F125" s="18" t="s">
        <v>221</v>
      </c>
      <c r="G125" s="19">
        <f t="shared" si="30"/>
        <v>30</v>
      </c>
      <c r="H125" s="19">
        <f t="shared" si="24"/>
        <v>885</v>
      </c>
      <c r="I125" s="20" t="s">
        <v>22</v>
      </c>
      <c r="J125" s="21">
        <v>60</v>
      </c>
      <c r="K125" s="22">
        <v>25</v>
      </c>
      <c r="L125" s="22">
        <f>+K125*18%</f>
        <v>4.5</v>
      </c>
      <c r="M125" s="22">
        <f t="shared" si="25"/>
        <v>29.5</v>
      </c>
      <c r="N125" s="23">
        <f t="shared" si="26"/>
        <v>1770</v>
      </c>
      <c r="O125" s="23">
        <f>6+4+5+1+1+1+12</f>
        <v>30</v>
      </c>
      <c r="P125" s="22">
        <f t="shared" si="31"/>
        <v>30</v>
      </c>
      <c r="Q125" s="22">
        <f t="shared" si="27"/>
        <v>885</v>
      </c>
      <c r="R125" s="20" t="s">
        <v>32</v>
      </c>
      <c r="S125" s="24"/>
    </row>
    <row r="126" spans="2:19" s="25" customFormat="1" ht="20.25" x14ac:dyDescent="0.3">
      <c r="B126" s="16">
        <f t="shared" si="22"/>
        <v>118</v>
      </c>
      <c r="C126" s="17">
        <v>43609</v>
      </c>
      <c r="D126" s="17">
        <v>43612</v>
      </c>
      <c r="E126" s="18" t="s">
        <v>222</v>
      </c>
      <c r="F126" s="18" t="s">
        <v>223</v>
      </c>
      <c r="G126" s="19">
        <f t="shared" si="30"/>
        <v>27</v>
      </c>
      <c r="H126" s="19">
        <f t="shared" si="24"/>
        <v>2025</v>
      </c>
      <c r="I126" s="20" t="s">
        <v>22</v>
      </c>
      <c r="J126" s="21">
        <v>40</v>
      </c>
      <c r="K126" s="22">
        <f>75</f>
        <v>75</v>
      </c>
      <c r="L126" s="22">
        <v>0</v>
      </c>
      <c r="M126" s="22">
        <f t="shared" si="25"/>
        <v>75</v>
      </c>
      <c r="N126" s="23">
        <f t="shared" si="26"/>
        <v>3000</v>
      </c>
      <c r="O126" s="23">
        <f>3+5+1+1+1+1+1</f>
        <v>13</v>
      </c>
      <c r="P126" s="22">
        <f t="shared" si="31"/>
        <v>27</v>
      </c>
      <c r="Q126" s="22">
        <f t="shared" si="27"/>
        <v>2025</v>
      </c>
      <c r="R126" s="20" t="s">
        <v>54</v>
      </c>
      <c r="S126" s="24">
        <f>Q126/P126</f>
        <v>75</v>
      </c>
    </row>
    <row r="127" spans="2:19" s="25" customFormat="1" ht="20.25" x14ac:dyDescent="0.3">
      <c r="B127" s="16">
        <f t="shared" si="22"/>
        <v>119</v>
      </c>
      <c r="C127" s="17">
        <v>43609</v>
      </c>
      <c r="D127" s="17">
        <v>43612</v>
      </c>
      <c r="E127" s="18" t="s">
        <v>224</v>
      </c>
      <c r="F127" s="18" t="s">
        <v>225</v>
      </c>
      <c r="G127" s="19">
        <f t="shared" si="30"/>
        <v>1</v>
      </c>
      <c r="H127" s="19">
        <f t="shared" si="24"/>
        <v>65.489999999999995</v>
      </c>
      <c r="I127" s="20" t="s">
        <v>22</v>
      </c>
      <c r="J127" s="21">
        <v>3</v>
      </c>
      <c r="K127" s="22">
        <v>55.5</v>
      </c>
      <c r="L127" s="22">
        <f t="shared" ref="L127:L133" si="33">+K127*18%</f>
        <v>9.99</v>
      </c>
      <c r="M127" s="22">
        <f t="shared" si="25"/>
        <v>65.489999999999995</v>
      </c>
      <c r="N127" s="23">
        <f t="shared" si="26"/>
        <v>196.46999999999997</v>
      </c>
      <c r="O127" s="23">
        <f>1+1</f>
        <v>2</v>
      </c>
      <c r="P127" s="22">
        <f t="shared" si="31"/>
        <v>1</v>
      </c>
      <c r="Q127" s="22">
        <f t="shared" si="27"/>
        <v>65.489999999999995</v>
      </c>
      <c r="R127" s="20"/>
      <c r="S127" s="24">
        <f>Q127/P127</f>
        <v>65.489999999999995</v>
      </c>
    </row>
    <row r="128" spans="2:19" s="25" customFormat="1" ht="20.25" x14ac:dyDescent="0.3">
      <c r="B128" s="16">
        <f t="shared" si="22"/>
        <v>120</v>
      </c>
      <c r="C128" s="17">
        <v>43830</v>
      </c>
      <c r="D128" s="17">
        <v>43859</v>
      </c>
      <c r="E128" s="18" t="s">
        <v>226</v>
      </c>
      <c r="F128" s="18" t="s">
        <v>227</v>
      </c>
      <c r="G128" s="19">
        <f t="shared" si="30"/>
        <v>56</v>
      </c>
      <c r="H128" s="19">
        <f t="shared" si="24"/>
        <v>7268.8000000000011</v>
      </c>
      <c r="I128" s="20" t="s">
        <v>22</v>
      </c>
      <c r="J128" s="21">
        <v>60</v>
      </c>
      <c r="K128" s="22">
        <v>110</v>
      </c>
      <c r="L128" s="22">
        <f t="shared" si="33"/>
        <v>19.8</v>
      </c>
      <c r="M128" s="22">
        <f t="shared" si="25"/>
        <v>129.80000000000001</v>
      </c>
      <c r="N128" s="23">
        <f t="shared" si="26"/>
        <v>7788.0000000000009</v>
      </c>
      <c r="O128" s="23">
        <f>1+3</f>
        <v>4</v>
      </c>
      <c r="P128" s="22">
        <f t="shared" si="31"/>
        <v>56</v>
      </c>
      <c r="Q128" s="22">
        <f t="shared" si="27"/>
        <v>7268.8000000000011</v>
      </c>
      <c r="R128" s="20" t="s">
        <v>32</v>
      </c>
      <c r="S128" s="24"/>
    </row>
    <row r="129" spans="2:19" s="25" customFormat="1" ht="20.25" x14ac:dyDescent="0.3">
      <c r="B129" s="16">
        <f t="shared" si="22"/>
        <v>121</v>
      </c>
      <c r="C129" s="17">
        <v>43609</v>
      </c>
      <c r="D129" s="17">
        <v>43612</v>
      </c>
      <c r="E129" s="18" t="s">
        <v>226</v>
      </c>
      <c r="F129" s="18" t="s">
        <v>228</v>
      </c>
      <c r="G129" s="19">
        <f t="shared" si="30"/>
        <v>22</v>
      </c>
      <c r="H129" s="19">
        <f t="shared" si="24"/>
        <v>5192</v>
      </c>
      <c r="I129" s="20" t="s">
        <v>22</v>
      </c>
      <c r="J129" s="21">
        <v>40</v>
      </c>
      <c r="K129" s="22">
        <v>200</v>
      </c>
      <c r="L129" s="22">
        <f t="shared" si="33"/>
        <v>36</v>
      </c>
      <c r="M129" s="22">
        <f t="shared" si="25"/>
        <v>236</v>
      </c>
      <c r="N129" s="23">
        <f t="shared" si="26"/>
        <v>9440</v>
      </c>
      <c r="O129" s="23">
        <f>1+3+6+1+5+1+1</f>
        <v>18</v>
      </c>
      <c r="P129" s="22">
        <f t="shared" si="31"/>
        <v>22</v>
      </c>
      <c r="Q129" s="22">
        <f t="shared" si="27"/>
        <v>5192</v>
      </c>
      <c r="R129" s="20" t="s">
        <v>25</v>
      </c>
      <c r="S129" s="24">
        <f>Q129/P129</f>
        <v>236</v>
      </c>
    </row>
    <row r="130" spans="2:19" s="25" customFormat="1" ht="20.25" x14ac:dyDescent="0.3">
      <c r="B130" s="16">
        <f>+B129+1</f>
        <v>122</v>
      </c>
      <c r="C130" s="17">
        <v>43252</v>
      </c>
      <c r="D130" s="17">
        <v>43254</v>
      </c>
      <c r="E130" s="18" t="s">
        <v>222</v>
      </c>
      <c r="F130" s="18" t="s">
        <v>229</v>
      </c>
      <c r="G130" s="19">
        <f t="shared" si="30"/>
        <v>0</v>
      </c>
      <c r="H130" s="19">
        <f t="shared" si="24"/>
        <v>0</v>
      </c>
      <c r="I130" s="20" t="s">
        <v>22</v>
      </c>
      <c r="J130" s="21">
        <v>8</v>
      </c>
      <c r="K130" s="22">
        <v>300</v>
      </c>
      <c r="L130" s="22">
        <f t="shared" si="33"/>
        <v>54</v>
      </c>
      <c r="M130" s="22">
        <f t="shared" si="25"/>
        <v>354</v>
      </c>
      <c r="N130" s="23">
        <f t="shared" si="26"/>
        <v>2832</v>
      </c>
      <c r="O130" s="23">
        <f>1+2+3+2</f>
        <v>8</v>
      </c>
      <c r="P130" s="22">
        <f t="shared" si="31"/>
        <v>0</v>
      </c>
      <c r="Q130" s="22">
        <f t="shared" si="27"/>
        <v>0</v>
      </c>
      <c r="R130" s="20" t="s">
        <v>25</v>
      </c>
      <c r="S130" s="24" t="e">
        <f>Q130/P130</f>
        <v>#DIV/0!</v>
      </c>
    </row>
    <row r="131" spans="2:19" s="25" customFormat="1" ht="20.25" x14ac:dyDescent="0.3">
      <c r="B131" s="16">
        <f t="shared" ref="B131:B181" si="34">B130+1</f>
        <v>123</v>
      </c>
      <c r="C131" s="17">
        <v>44162</v>
      </c>
      <c r="D131" s="17">
        <v>44187</v>
      </c>
      <c r="E131" s="18" t="s">
        <v>222</v>
      </c>
      <c r="F131" s="18" t="s">
        <v>229</v>
      </c>
      <c r="G131" s="19">
        <f t="shared" si="30"/>
        <v>60</v>
      </c>
      <c r="H131" s="19">
        <f t="shared" si="24"/>
        <v>1770</v>
      </c>
      <c r="I131" s="20" t="s">
        <v>22</v>
      </c>
      <c r="J131" s="21">
        <v>60</v>
      </c>
      <c r="K131" s="22">
        <v>25</v>
      </c>
      <c r="L131" s="22">
        <f t="shared" si="33"/>
        <v>4.5</v>
      </c>
      <c r="M131" s="22">
        <f t="shared" si="25"/>
        <v>29.5</v>
      </c>
      <c r="N131" s="23">
        <f t="shared" si="26"/>
        <v>1770</v>
      </c>
      <c r="O131" s="23">
        <v>0</v>
      </c>
      <c r="P131" s="22">
        <f t="shared" si="31"/>
        <v>60</v>
      </c>
      <c r="Q131" s="22">
        <f t="shared" si="27"/>
        <v>1770</v>
      </c>
      <c r="R131" s="20" t="s">
        <v>32</v>
      </c>
      <c r="S131" s="24"/>
    </row>
    <row r="132" spans="2:19" s="25" customFormat="1" ht="20.25" x14ac:dyDescent="0.3">
      <c r="B132" s="16">
        <f t="shared" si="34"/>
        <v>124</v>
      </c>
      <c r="C132" s="17">
        <v>43252</v>
      </c>
      <c r="D132" s="17">
        <v>43254</v>
      </c>
      <c r="E132" s="18" t="s">
        <v>222</v>
      </c>
      <c r="F132" s="18" t="s">
        <v>230</v>
      </c>
      <c r="G132" s="19">
        <f t="shared" si="30"/>
        <v>2</v>
      </c>
      <c r="H132" s="19">
        <f t="shared" si="24"/>
        <v>885</v>
      </c>
      <c r="I132" s="20" t="s">
        <v>22</v>
      </c>
      <c r="J132" s="21">
        <v>24</v>
      </c>
      <c r="K132" s="22">
        <v>375</v>
      </c>
      <c r="L132" s="22">
        <f t="shared" si="33"/>
        <v>67.5</v>
      </c>
      <c r="M132" s="22">
        <f t="shared" si="25"/>
        <v>442.5</v>
      </c>
      <c r="N132" s="23">
        <f t="shared" si="26"/>
        <v>10620</v>
      </c>
      <c r="O132" s="23">
        <f>5+6+3+1+2+1+2+2</f>
        <v>22</v>
      </c>
      <c r="P132" s="22">
        <f t="shared" si="31"/>
        <v>2</v>
      </c>
      <c r="Q132" s="22">
        <f t="shared" si="27"/>
        <v>885</v>
      </c>
      <c r="R132" s="20"/>
      <c r="S132" s="24">
        <f>Q132/P132</f>
        <v>442.5</v>
      </c>
    </row>
    <row r="133" spans="2:19" s="25" customFormat="1" ht="20.25" x14ac:dyDescent="0.3">
      <c r="B133" s="16">
        <f t="shared" si="34"/>
        <v>125</v>
      </c>
      <c r="C133" s="17">
        <v>43609</v>
      </c>
      <c r="D133" s="17">
        <v>43612</v>
      </c>
      <c r="E133" s="18" t="s">
        <v>222</v>
      </c>
      <c r="F133" s="18" t="s">
        <v>231</v>
      </c>
      <c r="G133" s="19">
        <f t="shared" si="30"/>
        <v>65</v>
      </c>
      <c r="H133" s="19">
        <f t="shared" si="24"/>
        <v>15340</v>
      </c>
      <c r="I133" s="20" t="s">
        <v>22</v>
      </c>
      <c r="J133" s="21">
        <v>70</v>
      </c>
      <c r="K133" s="22">
        <v>200</v>
      </c>
      <c r="L133" s="22">
        <f t="shared" si="33"/>
        <v>36</v>
      </c>
      <c r="M133" s="22">
        <f t="shared" si="25"/>
        <v>236</v>
      </c>
      <c r="N133" s="23">
        <f t="shared" si="26"/>
        <v>16520</v>
      </c>
      <c r="O133" s="23">
        <f>3+1+1</f>
        <v>5</v>
      </c>
      <c r="P133" s="22">
        <f t="shared" si="31"/>
        <v>65</v>
      </c>
      <c r="Q133" s="22">
        <f t="shared" si="27"/>
        <v>15340</v>
      </c>
      <c r="R133" s="20" t="s">
        <v>32</v>
      </c>
      <c r="S133" s="24"/>
    </row>
    <row r="134" spans="2:19" s="25" customFormat="1" ht="20.25" x14ac:dyDescent="0.3">
      <c r="B134" s="16">
        <f t="shared" si="34"/>
        <v>126</v>
      </c>
      <c r="C134" s="17">
        <v>44162</v>
      </c>
      <c r="D134" s="17">
        <v>44187</v>
      </c>
      <c r="E134" s="18" t="s">
        <v>232</v>
      </c>
      <c r="F134" s="18" t="s">
        <v>231</v>
      </c>
      <c r="G134" s="19">
        <f t="shared" si="30"/>
        <v>1</v>
      </c>
      <c r="H134" s="19">
        <f t="shared" si="24"/>
        <v>310</v>
      </c>
      <c r="I134" s="20" t="s">
        <v>155</v>
      </c>
      <c r="J134" s="21">
        <v>30</v>
      </c>
      <c r="K134" s="22">
        <f>310</f>
        <v>310</v>
      </c>
      <c r="L134" s="22">
        <v>0</v>
      </c>
      <c r="M134" s="22">
        <f t="shared" si="25"/>
        <v>310</v>
      </c>
      <c r="N134" s="23">
        <f t="shared" si="26"/>
        <v>9300</v>
      </c>
      <c r="O134" s="28">
        <f>4+1+1+1+3+1+1+1+3+1+1+1+1+4+1+4</f>
        <v>29</v>
      </c>
      <c r="P134" s="22">
        <f t="shared" si="31"/>
        <v>1</v>
      </c>
      <c r="Q134" s="22">
        <f t="shared" si="27"/>
        <v>310</v>
      </c>
      <c r="R134" s="20" t="s">
        <v>54</v>
      </c>
      <c r="S134" s="24">
        <f t="shared" ref="S134:S139" si="35">Q134/P134</f>
        <v>310</v>
      </c>
    </row>
    <row r="135" spans="2:19" s="25" customFormat="1" ht="23.25" customHeight="1" x14ac:dyDescent="0.3">
      <c r="B135" s="16">
        <f t="shared" si="34"/>
        <v>127</v>
      </c>
      <c r="C135" s="17">
        <v>43252</v>
      </c>
      <c r="D135" s="17">
        <v>43253</v>
      </c>
      <c r="E135" s="18" t="s">
        <v>233</v>
      </c>
      <c r="F135" s="31" t="s">
        <v>234</v>
      </c>
      <c r="G135" s="19">
        <f t="shared" si="30"/>
        <v>1</v>
      </c>
      <c r="H135" s="19">
        <f t="shared" si="24"/>
        <v>690.3</v>
      </c>
      <c r="I135" s="20" t="s">
        <v>22</v>
      </c>
      <c r="J135" s="21">
        <v>2</v>
      </c>
      <c r="K135" s="22">
        <v>585</v>
      </c>
      <c r="L135" s="22">
        <f t="shared" ref="L135:L149" si="36">+K135*18%</f>
        <v>105.3</v>
      </c>
      <c r="M135" s="22">
        <f t="shared" si="25"/>
        <v>690.3</v>
      </c>
      <c r="N135" s="23">
        <f t="shared" si="26"/>
        <v>1380.6</v>
      </c>
      <c r="O135" s="23">
        <v>1</v>
      </c>
      <c r="P135" s="22">
        <f t="shared" si="31"/>
        <v>1</v>
      </c>
      <c r="Q135" s="22">
        <f t="shared" si="27"/>
        <v>690.3</v>
      </c>
      <c r="R135" s="20"/>
      <c r="S135" s="24">
        <f t="shared" si="35"/>
        <v>690.3</v>
      </c>
    </row>
    <row r="136" spans="2:19" s="25" customFormat="1" ht="20.25" x14ac:dyDescent="0.3">
      <c r="B136" s="16">
        <f t="shared" si="34"/>
        <v>128</v>
      </c>
      <c r="C136" s="17">
        <v>43609</v>
      </c>
      <c r="D136" s="17">
        <v>43612</v>
      </c>
      <c r="E136" s="18" t="s">
        <v>233</v>
      </c>
      <c r="F136" s="27" t="s">
        <v>235</v>
      </c>
      <c r="G136" s="19">
        <f t="shared" si="30"/>
        <v>2</v>
      </c>
      <c r="H136" s="19">
        <f t="shared" si="24"/>
        <v>1298</v>
      </c>
      <c r="I136" s="20" t="s">
        <v>22</v>
      </c>
      <c r="J136" s="21">
        <v>2</v>
      </c>
      <c r="K136" s="22">
        <v>550</v>
      </c>
      <c r="L136" s="22">
        <f t="shared" si="36"/>
        <v>99</v>
      </c>
      <c r="M136" s="22">
        <f t="shared" si="25"/>
        <v>649</v>
      </c>
      <c r="N136" s="23">
        <f t="shared" si="26"/>
        <v>1298</v>
      </c>
      <c r="O136" s="23">
        <v>0</v>
      </c>
      <c r="P136" s="22">
        <f t="shared" si="31"/>
        <v>2</v>
      </c>
      <c r="Q136" s="22">
        <f t="shared" si="27"/>
        <v>1298</v>
      </c>
      <c r="R136" s="20" t="s">
        <v>25</v>
      </c>
      <c r="S136" s="24">
        <f t="shared" si="35"/>
        <v>649</v>
      </c>
    </row>
    <row r="137" spans="2:19" s="25" customFormat="1" ht="20.25" x14ac:dyDescent="0.3">
      <c r="B137" s="16">
        <f t="shared" si="34"/>
        <v>129</v>
      </c>
      <c r="C137" s="17">
        <v>43609</v>
      </c>
      <c r="D137" s="17">
        <v>43612</v>
      </c>
      <c r="E137" s="18" t="s">
        <v>236</v>
      </c>
      <c r="F137" s="18" t="s">
        <v>237</v>
      </c>
      <c r="G137" s="19">
        <f t="shared" si="30"/>
        <v>1</v>
      </c>
      <c r="H137" s="19">
        <f t="shared" si="24"/>
        <v>354</v>
      </c>
      <c r="I137" s="20" t="s">
        <v>22</v>
      </c>
      <c r="J137" s="21">
        <v>1</v>
      </c>
      <c r="K137" s="22">
        <v>300</v>
      </c>
      <c r="L137" s="22">
        <f t="shared" si="36"/>
        <v>54</v>
      </c>
      <c r="M137" s="22">
        <f t="shared" si="25"/>
        <v>354</v>
      </c>
      <c r="N137" s="23">
        <f t="shared" si="26"/>
        <v>354</v>
      </c>
      <c r="O137" s="23">
        <v>0</v>
      </c>
      <c r="P137" s="22">
        <f t="shared" si="31"/>
        <v>1</v>
      </c>
      <c r="Q137" s="22">
        <f t="shared" si="27"/>
        <v>354</v>
      </c>
      <c r="R137" s="20"/>
      <c r="S137" s="24">
        <f t="shared" si="35"/>
        <v>354</v>
      </c>
    </row>
    <row r="138" spans="2:19" s="25" customFormat="1" ht="20.25" x14ac:dyDescent="0.3">
      <c r="B138" s="16">
        <f t="shared" si="34"/>
        <v>130</v>
      </c>
      <c r="C138" s="17">
        <v>43609</v>
      </c>
      <c r="D138" s="17">
        <v>43612</v>
      </c>
      <c r="E138" s="18" t="s">
        <v>236</v>
      </c>
      <c r="F138" s="18" t="s">
        <v>238</v>
      </c>
      <c r="G138" s="19">
        <f t="shared" si="30"/>
        <v>1</v>
      </c>
      <c r="H138" s="19">
        <f t="shared" si="24"/>
        <v>354</v>
      </c>
      <c r="I138" s="20" t="s">
        <v>22</v>
      </c>
      <c r="J138" s="21">
        <v>1</v>
      </c>
      <c r="K138" s="22">
        <v>300</v>
      </c>
      <c r="L138" s="22">
        <f t="shared" si="36"/>
        <v>54</v>
      </c>
      <c r="M138" s="22">
        <f t="shared" si="25"/>
        <v>354</v>
      </c>
      <c r="N138" s="23">
        <f t="shared" si="26"/>
        <v>354</v>
      </c>
      <c r="O138" s="23">
        <v>0</v>
      </c>
      <c r="P138" s="22">
        <f t="shared" si="31"/>
        <v>1</v>
      </c>
      <c r="Q138" s="22">
        <f t="shared" si="27"/>
        <v>354</v>
      </c>
      <c r="R138" s="20" t="s">
        <v>25</v>
      </c>
      <c r="S138" s="24">
        <f t="shared" si="35"/>
        <v>354</v>
      </c>
    </row>
    <row r="139" spans="2:19" s="25" customFormat="1" ht="20.25" x14ac:dyDescent="0.3">
      <c r="B139" s="16">
        <f>+B138+1</f>
        <v>131</v>
      </c>
      <c r="C139" s="17">
        <v>43252</v>
      </c>
      <c r="D139" s="17">
        <v>43253</v>
      </c>
      <c r="E139" s="18" t="s">
        <v>239</v>
      </c>
      <c r="F139" s="18" t="s">
        <v>240</v>
      </c>
      <c r="G139" s="19">
        <f t="shared" si="30"/>
        <v>6</v>
      </c>
      <c r="H139" s="19">
        <f t="shared" si="24"/>
        <v>531</v>
      </c>
      <c r="I139" s="20" t="s">
        <v>22</v>
      </c>
      <c r="J139" s="21">
        <v>10</v>
      </c>
      <c r="K139" s="22">
        <v>75</v>
      </c>
      <c r="L139" s="22">
        <f t="shared" si="36"/>
        <v>13.5</v>
      </c>
      <c r="M139" s="22">
        <f t="shared" si="25"/>
        <v>88.5</v>
      </c>
      <c r="N139" s="23">
        <f t="shared" si="26"/>
        <v>885</v>
      </c>
      <c r="O139" s="23">
        <f>1+1+1+1</f>
        <v>4</v>
      </c>
      <c r="P139" s="22">
        <f t="shared" si="31"/>
        <v>6</v>
      </c>
      <c r="Q139" s="22">
        <f t="shared" si="27"/>
        <v>531</v>
      </c>
      <c r="R139" s="20" t="s">
        <v>25</v>
      </c>
      <c r="S139" s="24">
        <f t="shared" si="35"/>
        <v>88.5</v>
      </c>
    </row>
    <row r="140" spans="2:19" s="25" customFormat="1" ht="20.25" x14ac:dyDescent="0.3">
      <c r="B140" s="16">
        <f t="shared" si="34"/>
        <v>132</v>
      </c>
      <c r="C140" s="17">
        <v>43252</v>
      </c>
      <c r="D140" s="17">
        <v>43253</v>
      </c>
      <c r="E140" s="18" t="s">
        <v>241</v>
      </c>
      <c r="F140" s="18" t="s">
        <v>242</v>
      </c>
      <c r="G140" s="19">
        <f t="shared" si="30"/>
        <v>3</v>
      </c>
      <c r="H140" s="19">
        <f t="shared" si="24"/>
        <v>177</v>
      </c>
      <c r="I140" s="20" t="s">
        <v>22</v>
      </c>
      <c r="J140" s="21">
        <v>20</v>
      </c>
      <c r="K140" s="22">
        <v>50</v>
      </c>
      <c r="L140" s="22">
        <f t="shared" si="36"/>
        <v>9</v>
      </c>
      <c r="M140" s="22">
        <f t="shared" si="25"/>
        <v>59</v>
      </c>
      <c r="N140" s="23">
        <f t="shared" si="26"/>
        <v>1180</v>
      </c>
      <c r="O140" s="23">
        <f>7+1+1+1+1+1+2+1+1+1</f>
        <v>17</v>
      </c>
      <c r="P140" s="22">
        <f t="shared" si="31"/>
        <v>3</v>
      </c>
      <c r="Q140" s="22">
        <f t="shared" si="27"/>
        <v>177</v>
      </c>
      <c r="R140" s="20" t="s">
        <v>25</v>
      </c>
      <c r="S140" s="24"/>
    </row>
    <row r="141" spans="2:19" s="25" customFormat="1" ht="20.25" x14ac:dyDescent="0.3">
      <c r="B141" s="16">
        <f t="shared" si="34"/>
        <v>133</v>
      </c>
      <c r="C141" s="17" t="s">
        <v>28</v>
      </c>
      <c r="D141" s="17" t="s">
        <v>29</v>
      </c>
      <c r="E141" s="18" t="s">
        <v>241</v>
      </c>
      <c r="F141" s="18" t="s">
        <v>243</v>
      </c>
      <c r="G141" s="19">
        <f t="shared" si="30"/>
        <v>12</v>
      </c>
      <c r="H141" s="19">
        <f t="shared" si="24"/>
        <v>297.36</v>
      </c>
      <c r="I141" s="20" t="s">
        <v>22</v>
      </c>
      <c r="J141" s="21">
        <v>20</v>
      </c>
      <c r="K141" s="22">
        <v>21</v>
      </c>
      <c r="L141" s="22">
        <f t="shared" si="36"/>
        <v>3.78</v>
      </c>
      <c r="M141" s="22">
        <f t="shared" si="25"/>
        <v>24.78</v>
      </c>
      <c r="N141" s="23">
        <f t="shared" si="26"/>
        <v>495.6</v>
      </c>
      <c r="O141" s="23">
        <f>4+2+2</f>
        <v>8</v>
      </c>
      <c r="P141" s="22">
        <f t="shared" si="31"/>
        <v>12</v>
      </c>
      <c r="Q141" s="22">
        <f t="shared" si="27"/>
        <v>297.36</v>
      </c>
      <c r="R141" s="20" t="s">
        <v>32</v>
      </c>
      <c r="S141" s="24"/>
    </row>
    <row r="142" spans="2:19" s="25" customFormat="1" ht="20.25" x14ac:dyDescent="0.3">
      <c r="B142" s="16">
        <f t="shared" si="34"/>
        <v>134</v>
      </c>
      <c r="C142" s="17" t="s">
        <v>28</v>
      </c>
      <c r="D142" s="17" t="s">
        <v>29</v>
      </c>
      <c r="E142" s="18" t="s">
        <v>244</v>
      </c>
      <c r="F142" s="18" t="s">
        <v>245</v>
      </c>
      <c r="G142" s="19">
        <f t="shared" si="30"/>
        <v>60</v>
      </c>
      <c r="H142" s="19">
        <f t="shared" si="24"/>
        <v>1486.8000000000002</v>
      </c>
      <c r="I142" s="20" t="s">
        <v>22</v>
      </c>
      <c r="J142" s="21">
        <v>60</v>
      </c>
      <c r="K142" s="22">
        <v>21</v>
      </c>
      <c r="L142" s="22">
        <f t="shared" si="36"/>
        <v>3.78</v>
      </c>
      <c r="M142" s="22">
        <f t="shared" si="25"/>
        <v>24.78</v>
      </c>
      <c r="N142" s="23">
        <f t="shared" si="26"/>
        <v>1486.8000000000002</v>
      </c>
      <c r="O142" s="23">
        <v>0</v>
      </c>
      <c r="P142" s="22">
        <f t="shared" si="31"/>
        <v>60</v>
      </c>
      <c r="Q142" s="22">
        <f t="shared" si="27"/>
        <v>1486.8000000000002</v>
      </c>
      <c r="R142" s="20" t="s">
        <v>32</v>
      </c>
      <c r="S142" s="24"/>
    </row>
    <row r="143" spans="2:19" s="25" customFormat="1" ht="20.25" x14ac:dyDescent="0.3">
      <c r="B143" s="16">
        <f t="shared" si="34"/>
        <v>135</v>
      </c>
      <c r="C143" s="17" t="s">
        <v>28</v>
      </c>
      <c r="D143" s="17" t="s">
        <v>29</v>
      </c>
      <c r="E143" s="18" t="s">
        <v>246</v>
      </c>
      <c r="F143" s="18" t="s">
        <v>247</v>
      </c>
      <c r="G143" s="19">
        <f t="shared" si="30"/>
        <v>2</v>
      </c>
      <c r="H143" s="19">
        <f t="shared" si="24"/>
        <v>165.2</v>
      </c>
      <c r="I143" s="20" t="s">
        <v>22</v>
      </c>
      <c r="J143" s="21">
        <v>27</v>
      </c>
      <c r="K143" s="22">
        <v>70</v>
      </c>
      <c r="L143" s="22">
        <f t="shared" si="36"/>
        <v>12.6</v>
      </c>
      <c r="M143" s="22">
        <f t="shared" si="25"/>
        <v>82.6</v>
      </c>
      <c r="N143" s="23">
        <f t="shared" si="26"/>
        <v>2230.1999999999998</v>
      </c>
      <c r="O143" s="23">
        <f>10+6+2+2+1+2+2</f>
        <v>25</v>
      </c>
      <c r="P143" s="22">
        <f t="shared" si="31"/>
        <v>2</v>
      </c>
      <c r="Q143" s="22">
        <f t="shared" si="27"/>
        <v>165.2</v>
      </c>
      <c r="R143" s="20"/>
      <c r="S143" s="24"/>
    </row>
    <row r="144" spans="2:19" s="25" customFormat="1" ht="20.25" x14ac:dyDescent="0.3">
      <c r="B144" s="16">
        <f t="shared" si="34"/>
        <v>136</v>
      </c>
      <c r="C144" s="17" t="s">
        <v>28</v>
      </c>
      <c r="D144" s="17" t="s">
        <v>29</v>
      </c>
      <c r="E144" s="18" t="s">
        <v>248</v>
      </c>
      <c r="F144" s="18" t="s">
        <v>249</v>
      </c>
      <c r="G144" s="19">
        <f t="shared" si="30"/>
        <v>56</v>
      </c>
      <c r="H144" s="19">
        <f t="shared" si="24"/>
        <v>1387.68</v>
      </c>
      <c r="I144" s="20" t="s">
        <v>22</v>
      </c>
      <c r="J144" s="21">
        <v>60</v>
      </c>
      <c r="K144" s="22">
        <v>21</v>
      </c>
      <c r="L144" s="22">
        <f t="shared" si="36"/>
        <v>3.78</v>
      </c>
      <c r="M144" s="22">
        <f t="shared" si="25"/>
        <v>24.78</v>
      </c>
      <c r="N144" s="23">
        <f t="shared" si="26"/>
        <v>1486.8000000000002</v>
      </c>
      <c r="O144" s="23">
        <f>2+2</f>
        <v>4</v>
      </c>
      <c r="P144" s="22">
        <f t="shared" si="31"/>
        <v>56</v>
      </c>
      <c r="Q144" s="22">
        <f t="shared" si="27"/>
        <v>1387.68</v>
      </c>
      <c r="R144" s="20" t="s">
        <v>32</v>
      </c>
      <c r="S144" s="24"/>
    </row>
    <row r="145" spans="2:19" s="25" customFormat="1" ht="20.25" x14ac:dyDescent="0.3">
      <c r="B145" s="16">
        <f t="shared" si="34"/>
        <v>137</v>
      </c>
      <c r="C145" s="17">
        <v>43609</v>
      </c>
      <c r="D145" s="17">
        <v>43612</v>
      </c>
      <c r="E145" s="18" t="s">
        <v>250</v>
      </c>
      <c r="F145" s="18" t="s">
        <v>251</v>
      </c>
      <c r="G145" s="19">
        <f t="shared" si="30"/>
        <v>56</v>
      </c>
      <c r="H145" s="19">
        <f t="shared" si="24"/>
        <v>1387.68</v>
      </c>
      <c r="I145" s="20" t="s">
        <v>22</v>
      </c>
      <c r="J145" s="21">
        <v>60</v>
      </c>
      <c r="K145" s="22">
        <v>21</v>
      </c>
      <c r="L145" s="22">
        <f t="shared" si="36"/>
        <v>3.78</v>
      </c>
      <c r="M145" s="22">
        <f t="shared" si="25"/>
        <v>24.78</v>
      </c>
      <c r="N145" s="23">
        <f t="shared" si="26"/>
        <v>1486.8000000000002</v>
      </c>
      <c r="O145" s="23">
        <f>2+2</f>
        <v>4</v>
      </c>
      <c r="P145" s="22">
        <f t="shared" si="31"/>
        <v>56</v>
      </c>
      <c r="Q145" s="22">
        <f t="shared" si="27"/>
        <v>1387.68</v>
      </c>
      <c r="R145" s="20" t="s">
        <v>32</v>
      </c>
      <c r="S145" s="24"/>
    </row>
    <row r="146" spans="2:19" s="25" customFormat="1" ht="20.25" x14ac:dyDescent="0.3">
      <c r="B146" s="16">
        <f t="shared" si="34"/>
        <v>138</v>
      </c>
      <c r="C146" s="17">
        <v>43830</v>
      </c>
      <c r="D146" s="17">
        <v>43859</v>
      </c>
      <c r="E146" s="18" t="s">
        <v>252</v>
      </c>
      <c r="F146" s="18" t="s">
        <v>253</v>
      </c>
      <c r="G146" s="19">
        <f t="shared" si="30"/>
        <v>60</v>
      </c>
      <c r="H146" s="19">
        <f t="shared" si="24"/>
        <v>1571.7599999999998</v>
      </c>
      <c r="I146" s="20" t="s">
        <v>22</v>
      </c>
      <c r="J146" s="21">
        <v>60</v>
      </c>
      <c r="K146" s="22">
        <v>22.2</v>
      </c>
      <c r="L146" s="22">
        <f t="shared" si="36"/>
        <v>3.9959999999999996</v>
      </c>
      <c r="M146" s="22">
        <f t="shared" si="25"/>
        <v>26.195999999999998</v>
      </c>
      <c r="N146" s="23">
        <f t="shared" si="26"/>
        <v>1571.7599999999998</v>
      </c>
      <c r="O146" s="23">
        <v>0</v>
      </c>
      <c r="P146" s="22">
        <f t="shared" si="31"/>
        <v>60</v>
      </c>
      <c r="Q146" s="22">
        <f t="shared" si="27"/>
        <v>1571.7599999999998</v>
      </c>
      <c r="R146" s="20" t="s">
        <v>32</v>
      </c>
      <c r="S146" s="24">
        <f t="shared" ref="S146:S151" si="37">Q146/P146</f>
        <v>26.195999999999994</v>
      </c>
    </row>
    <row r="147" spans="2:19" s="25" customFormat="1" ht="20.25" x14ac:dyDescent="0.3">
      <c r="B147" s="16">
        <f>+B146+1</f>
        <v>139</v>
      </c>
      <c r="C147" s="17" t="s">
        <v>28</v>
      </c>
      <c r="D147" s="17" t="s">
        <v>29</v>
      </c>
      <c r="E147" s="18" t="s">
        <v>241</v>
      </c>
      <c r="F147" s="18" t="s">
        <v>254</v>
      </c>
      <c r="G147" s="19">
        <f t="shared" si="30"/>
        <v>1</v>
      </c>
      <c r="H147" s="19">
        <f t="shared" si="24"/>
        <v>82.6</v>
      </c>
      <c r="I147" s="20" t="s">
        <v>22</v>
      </c>
      <c r="J147" s="21">
        <v>16</v>
      </c>
      <c r="K147" s="22">
        <v>70</v>
      </c>
      <c r="L147" s="22">
        <f t="shared" si="36"/>
        <v>12.6</v>
      </c>
      <c r="M147" s="22">
        <f t="shared" si="25"/>
        <v>82.6</v>
      </c>
      <c r="N147" s="23">
        <f t="shared" si="26"/>
        <v>1321.6</v>
      </c>
      <c r="O147" s="23">
        <f>4+1+2+1+1+1+1+2+2</f>
        <v>15</v>
      </c>
      <c r="P147" s="22">
        <f t="shared" si="31"/>
        <v>1</v>
      </c>
      <c r="Q147" s="22">
        <f t="shared" si="27"/>
        <v>82.6</v>
      </c>
      <c r="R147" s="20"/>
      <c r="S147" s="24">
        <f t="shared" si="37"/>
        <v>82.6</v>
      </c>
    </row>
    <row r="148" spans="2:19" s="25" customFormat="1" ht="20.25" x14ac:dyDescent="0.3">
      <c r="B148" s="16">
        <f t="shared" si="34"/>
        <v>140</v>
      </c>
      <c r="C148" s="17">
        <v>43252</v>
      </c>
      <c r="D148" s="17">
        <v>43253</v>
      </c>
      <c r="E148" s="18" t="s">
        <v>255</v>
      </c>
      <c r="F148" s="18" t="s">
        <v>256</v>
      </c>
      <c r="G148" s="19">
        <f t="shared" si="30"/>
        <v>60</v>
      </c>
      <c r="H148" s="19">
        <f t="shared" si="24"/>
        <v>1571.7599999999998</v>
      </c>
      <c r="I148" s="20" t="s">
        <v>22</v>
      </c>
      <c r="J148" s="21">
        <v>60</v>
      </c>
      <c r="K148" s="22">
        <v>22.2</v>
      </c>
      <c r="L148" s="22">
        <f t="shared" si="36"/>
        <v>3.9959999999999996</v>
      </c>
      <c r="M148" s="22">
        <f t="shared" si="25"/>
        <v>26.195999999999998</v>
      </c>
      <c r="N148" s="23">
        <f t="shared" si="26"/>
        <v>1571.7599999999998</v>
      </c>
      <c r="O148" s="23">
        <v>0</v>
      </c>
      <c r="P148" s="22">
        <f t="shared" si="31"/>
        <v>60</v>
      </c>
      <c r="Q148" s="22">
        <f t="shared" si="27"/>
        <v>1571.7599999999998</v>
      </c>
      <c r="R148" s="20" t="s">
        <v>32</v>
      </c>
      <c r="S148" s="24">
        <f t="shared" si="37"/>
        <v>26.195999999999994</v>
      </c>
    </row>
    <row r="149" spans="2:19" s="25" customFormat="1" ht="20.25" x14ac:dyDescent="0.3">
      <c r="B149" s="16">
        <f t="shared" si="34"/>
        <v>141</v>
      </c>
      <c r="C149" s="17">
        <v>43830</v>
      </c>
      <c r="D149" s="17">
        <v>43859</v>
      </c>
      <c r="E149" s="18" t="s">
        <v>257</v>
      </c>
      <c r="F149" s="18" t="s">
        <v>258</v>
      </c>
      <c r="G149" s="19">
        <f t="shared" si="30"/>
        <v>45</v>
      </c>
      <c r="H149" s="19">
        <f t="shared" si="24"/>
        <v>1106.0730000000001</v>
      </c>
      <c r="I149" s="20" t="s">
        <v>22</v>
      </c>
      <c r="J149" s="21">
        <v>50</v>
      </c>
      <c r="K149" s="22">
        <v>20.83</v>
      </c>
      <c r="L149" s="22">
        <f t="shared" si="36"/>
        <v>3.7493999999999996</v>
      </c>
      <c r="M149" s="22">
        <f t="shared" si="25"/>
        <v>24.5794</v>
      </c>
      <c r="N149" s="23">
        <f t="shared" si="26"/>
        <v>1228.97</v>
      </c>
      <c r="O149" s="23">
        <f>2+1+1+1</f>
        <v>5</v>
      </c>
      <c r="P149" s="22">
        <f t="shared" si="31"/>
        <v>45</v>
      </c>
      <c r="Q149" s="22">
        <f t="shared" si="27"/>
        <v>1106.0730000000001</v>
      </c>
      <c r="R149" s="22"/>
      <c r="S149" s="24">
        <f t="shared" si="37"/>
        <v>24.579400000000003</v>
      </c>
    </row>
    <row r="150" spans="2:19" s="25" customFormat="1" ht="20.25" x14ac:dyDescent="0.3">
      <c r="B150" s="16">
        <f t="shared" si="34"/>
        <v>142</v>
      </c>
      <c r="C150" s="17" t="s">
        <v>28</v>
      </c>
      <c r="D150" s="17" t="s">
        <v>29</v>
      </c>
      <c r="E150" s="18" t="s">
        <v>257</v>
      </c>
      <c r="F150" s="18" t="s">
        <v>259</v>
      </c>
      <c r="G150" s="19">
        <f t="shared" si="30"/>
        <v>19</v>
      </c>
      <c r="H150" s="19">
        <f t="shared" si="24"/>
        <v>28975</v>
      </c>
      <c r="I150" s="20" t="s">
        <v>22</v>
      </c>
      <c r="J150" s="21">
        <v>20</v>
      </c>
      <c r="K150" s="22">
        <f>1525</f>
        <v>1525</v>
      </c>
      <c r="L150" s="22">
        <v>0</v>
      </c>
      <c r="M150" s="22">
        <f>+K150</f>
        <v>1525</v>
      </c>
      <c r="N150" s="23">
        <f t="shared" si="26"/>
        <v>30500</v>
      </c>
      <c r="O150" s="23">
        <v>1</v>
      </c>
      <c r="P150" s="22">
        <f t="shared" si="31"/>
        <v>19</v>
      </c>
      <c r="Q150" s="22">
        <f t="shared" si="27"/>
        <v>28975</v>
      </c>
      <c r="R150" s="20" t="s">
        <v>54</v>
      </c>
      <c r="S150" s="24">
        <f t="shared" si="37"/>
        <v>1525</v>
      </c>
    </row>
    <row r="151" spans="2:19" s="25" customFormat="1" ht="20.25" x14ac:dyDescent="0.3">
      <c r="B151" s="16">
        <f t="shared" si="34"/>
        <v>143</v>
      </c>
      <c r="C151" s="17">
        <v>43609</v>
      </c>
      <c r="D151" s="17">
        <v>43612</v>
      </c>
      <c r="E151" s="18" t="s">
        <v>260</v>
      </c>
      <c r="F151" s="18" t="s">
        <v>261</v>
      </c>
      <c r="G151" s="19">
        <f t="shared" si="30"/>
        <v>69</v>
      </c>
      <c r="H151" s="19">
        <f t="shared" si="24"/>
        <v>2442.6</v>
      </c>
      <c r="I151" s="20" t="s">
        <v>262</v>
      </c>
      <c r="J151" s="21">
        <v>95</v>
      </c>
      <c r="K151" s="22">
        <v>30</v>
      </c>
      <c r="L151" s="22">
        <f>+K151*18%</f>
        <v>5.3999999999999995</v>
      </c>
      <c r="M151" s="22">
        <f>+K151+L151</f>
        <v>35.4</v>
      </c>
      <c r="N151" s="23">
        <f t="shared" si="26"/>
        <v>3363</v>
      </c>
      <c r="O151" s="23">
        <f>25+1</f>
        <v>26</v>
      </c>
      <c r="P151" s="22">
        <f t="shared" si="31"/>
        <v>69</v>
      </c>
      <c r="Q151" s="22">
        <f t="shared" si="27"/>
        <v>2442.6</v>
      </c>
      <c r="R151" s="22"/>
      <c r="S151" s="24">
        <f t="shared" si="37"/>
        <v>35.4</v>
      </c>
    </row>
    <row r="152" spans="2:19" s="25" customFormat="1" ht="20.25" x14ac:dyDescent="0.3">
      <c r="B152" s="16">
        <f t="shared" si="34"/>
        <v>144</v>
      </c>
      <c r="C152" s="17">
        <v>43609</v>
      </c>
      <c r="D152" s="17">
        <v>43612</v>
      </c>
      <c r="E152" s="18" t="s">
        <v>260</v>
      </c>
      <c r="F152" s="18" t="s">
        <v>263</v>
      </c>
      <c r="G152" s="19">
        <f t="shared" si="30"/>
        <v>5</v>
      </c>
      <c r="H152" s="19">
        <f t="shared" si="24"/>
        <v>147.5</v>
      </c>
      <c r="I152" s="20" t="s">
        <v>264</v>
      </c>
      <c r="J152" s="21">
        <v>20</v>
      </c>
      <c r="K152" s="22">
        <v>25</v>
      </c>
      <c r="L152" s="22">
        <f>+K152*18%</f>
        <v>4.5</v>
      </c>
      <c r="M152" s="22">
        <f>+K152+L152</f>
        <v>29.5</v>
      </c>
      <c r="N152" s="23">
        <f t="shared" si="26"/>
        <v>590</v>
      </c>
      <c r="O152" s="23">
        <f>10+5</f>
        <v>15</v>
      </c>
      <c r="P152" s="22">
        <f t="shared" si="31"/>
        <v>5</v>
      </c>
      <c r="Q152" s="22">
        <f t="shared" si="27"/>
        <v>147.5</v>
      </c>
      <c r="R152" s="22" t="s">
        <v>32</v>
      </c>
      <c r="S152" s="24"/>
    </row>
    <row r="153" spans="2:19" s="25" customFormat="1" ht="20.25" x14ac:dyDescent="0.3">
      <c r="B153" s="16">
        <f t="shared" si="34"/>
        <v>145</v>
      </c>
      <c r="C153" s="17">
        <v>43609</v>
      </c>
      <c r="D153" s="17">
        <v>43612</v>
      </c>
      <c r="E153" s="18" t="s">
        <v>260</v>
      </c>
      <c r="F153" s="18" t="s">
        <v>265</v>
      </c>
      <c r="G153" s="19">
        <f t="shared" si="30"/>
        <v>19</v>
      </c>
      <c r="H153" s="19">
        <f t="shared" si="24"/>
        <v>1216</v>
      </c>
      <c r="I153" s="20" t="s">
        <v>266</v>
      </c>
      <c r="J153" s="21">
        <v>20</v>
      </c>
      <c r="K153" s="22">
        <f>64</f>
        <v>64</v>
      </c>
      <c r="L153" s="22">
        <v>0</v>
      </c>
      <c r="M153" s="22">
        <f>+K153</f>
        <v>64</v>
      </c>
      <c r="N153" s="23">
        <f t="shared" si="26"/>
        <v>1280</v>
      </c>
      <c r="O153" s="23">
        <v>1</v>
      </c>
      <c r="P153" s="22">
        <f t="shared" si="31"/>
        <v>19</v>
      </c>
      <c r="Q153" s="22">
        <f t="shared" si="27"/>
        <v>1216</v>
      </c>
      <c r="R153" s="20" t="s">
        <v>54</v>
      </c>
      <c r="S153" s="24">
        <f>Q153/P153</f>
        <v>64</v>
      </c>
    </row>
    <row r="154" spans="2:19" s="25" customFormat="1" ht="20.25" x14ac:dyDescent="0.3">
      <c r="B154" s="16">
        <f t="shared" si="34"/>
        <v>146</v>
      </c>
      <c r="C154" s="17" t="s">
        <v>28</v>
      </c>
      <c r="D154" s="17" t="s">
        <v>29</v>
      </c>
      <c r="E154" s="18" t="s">
        <v>267</v>
      </c>
      <c r="F154" s="18" t="s">
        <v>268</v>
      </c>
      <c r="G154" s="19">
        <f t="shared" si="30"/>
        <v>312</v>
      </c>
      <c r="H154" s="19">
        <f t="shared" si="24"/>
        <v>1104.48</v>
      </c>
      <c r="I154" s="20" t="s">
        <v>84</v>
      </c>
      <c r="J154" s="21">
        <v>500</v>
      </c>
      <c r="K154" s="22">
        <v>3</v>
      </c>
      <c r="L154" s="22">
        <f t="shared" ref="L154:L164" si="38">+K154*18%</f>
        <v>0.54</v>
      </c>
      <c r="M154" s="22">
        <f t="shared" ref="M154:M164" si="39">+K154+L154</f>
        <v>3.54</v>
      </c>
      <c r="N154" s="23">
        <f t="shared" si="26"/>
        <v>1770</v>
      </c>
      <c r="O154" s="28">
        <f>20+12+10+1+15+5+30+4+1+10+10+1+1+2+2+2+2+6+34+20</f>
        <v>188</v>
      </c>
      <c r="P154" s="22">
        <f t="shared" si="31"/>
        <v>312</v>
      </c>
      <c r="Q154" s="22">
        <f t="shared" si="27"/>
        <v>1104.48</v>
      </c>
      <c r="R154" s="20" t="s">
        <v>25</v>
      </c>
      <c r="S154" s="24">
        <f>Q154/P154</f>
        <v>3.54</v>
      </c>
    </row>
    <row r="155" spans="2:19" s="25" customFormat="1" ht="20.25" x14ac:dyDescent="0.3">
      <c r="B155" s="16">
        <f t="shared" si="34"/>
        <v>147</v>
      </c>
      <c r="C155" s="17" t="s">
        <v>28</v>
      </c>
      <c r="D155" s="17" t="s">
        <v>29</v>
      </c>
      <c r="E155" s="18" t="s">
        <v>267</v>
      </c>
      <c r="F155" s="18" t="s">
        <v>269</v>
      </c>
      <c r="G155" s="19">
        <f t="shared" si="30"/>
        <v>476</v>
      </c>
      <c r="H155" s="19">
        <f t="shared" si="24"/>
        <v>2134.384</v>
      </c>
      <c r="I155" s="20" t="s">
        <v>22</v>
      </c>
      <c r="J155" s="21">
        <v>500</v>
      </c>
      <c r="K155" s="22">
        <v>3.8</v>
      </c>
      <c r="L155" s="22">
        <f t="shared" si="38"/>
        <v>0.68399999999999994</v>
      </c>
      <c r="M155" s="22">
        <f t="shared" si="39"/>
        <v>4.484</v>
      </c>
      <c r="N155" s="23">
        <f t="shared" si="26"/>
        <v>2242</v>
      </c>
      <c r="O155" s="23">
        <f>12+2+10</f>
        <v>24</v>
      </c>
      <c r="P155" s="22">
        <f t="shared" si="31"/>
        <v>476</v>
      </c>
      <c r="Q155" s="22">
        <f t="shared" si="27"/>
        <v>2134.384</v>
      </c>
      <c r="R155" s="20" t="s">
        <v>32</v>
      </c>
      <c r="S155" s="24"/>
    </row>
    <row r="156" spans="2:19" s="25" customFormat="1" ht="20.25" x14ac:dyDescent="0.3">
      <c r="B156" s="16">
        <f t="shared" si="34"/>
        <v>148</v>
      </c>
      <c r="C156" s="17">
        <v>43609</v>
      </c>
      <c r="D156" s="17">
        <v>43612</v>
      </c>
      <c r="E156" s="18" t="s">
        <v>270</v>
      </c>
      <c r="F156" s="18" t="s">
        <v>271</v>
      </c>
      <c r="G156" s="19">
        <f t="shared" si="30"/>
        <v>349</v>
      </c>
      <c r="H156" s="19">
        <f t="shared" si="24"/>
        <v>988.36799999999994</v>
      </c>
      <c r="I156" s="20" t="s">
        <v>22</v>
      </c>
      <c r="J156" s="21">
        <v>500</v>
      </c>
      <c r="K156" s="22">
        <v>2.4</v>
      </c>
      <c r="L156" s="22">
        <f t="shared" si="38"/>
        <v>0.432</v>
      </c>
      <c r="M156" s="22">
        <f t="shared" si="39"/>
        <v>2.8319999999999999</v>
      </c>
      <c r="N156" s="23">
        <f t="shared" si="26"/>
        <v>1416</v>
      </c>
      <c r="O156" s="23">
        <f>2+2+12+20+25+12+10+2+1+17+1+1+10+10+2+10+2+2+10</f>
        <v>151</v>
      </c>
      <c r="P156" s="22">
        <f t="shared" si="31"/>
        <v>349</v>
      </c>
      <c r="Q156" s="22">
        <f t="shared" si="27"/>
        <v>988.36799999999994</v>
      </c>
      <c r="R156" s="20" t="s">
        <v>25</v>
      </c>
      <c r="S156" s="24">
        <f>Q156/P156</f>
        <v>2.8319999999999999</v>
      </c>
    </row>
    <row r="157" spans="2:19" s="25" customFormat="1" ht="20.25" x14ac:dyDescent="0.3">
      <c r="B157" s="16">
        <f t="shared" si="34"/>
        <v>149</v>
      </c>
      <c r="C157" s="17">
        <v>43252</v>
      </c>
      <c r="D157" s="17">
        <v>43253</v>
      </c>
      <c r="E157" s="18" t="s">
        <v>272</v>
      </c>
      <c r="F157" s="18" t="s">
        <v>273</v>
      </c>
      <c r="G157" s="19">
        <f t="shared" si="30"/>
        <v>490</v>
      </c>
      <c r="H157" s="19">
        <f t="shared" si="24"/>
        <v>982.93999999999994</v>
      </c>
      <c r="I157" s="20" t="s">
        <v>22</v>
      </c>
      <c r="J157" s="21">
        <v>500</v>
      </c>
      <c r="K157" s="22">
        <v>1.7</v>
      </c>
      <c r="L157" s="22">
        <f t="shared" si="38"/>
        <v>0.30599999999999999</v>
      </c>
      <c r="M157" s="22">
        <f t="shared" si="39"/>
        <v>2.0059999999999998</v>
      </c>
      <c r="N157" s="23">
        <f t="shared" si="26"/>
        <v>1002.9999999999999</v>
      </c>
      <c r="O157" s="23">
        <v>10</v>
      </c>
      <c r="P157" s="22">
        <f t="shared" si="31"/>
        <v>490</v>
      </c>
      <c r="Q157" s="22">
        <f t="shared" si="27"/>
        <v>982.93999999999994</v>
      </c>
      <c r="R157" s="22" t="s">
        <v>32</v>
      </c>
    </row>
    <row r="158" spans="2:19" s="25" customFormat="1" ht="20.25" x14ac:dyDescent="0.3">
      <c r="B158" s="16">
        <f t="shared" si="34"/>
        <v>150</v>
      </c>
      <c r="C158" s="17" t="s">
        <v>28</v>
      </c>
      <c r="D158" s="17" t="s">
        <v>29</v>
      </c>
      <c r="E158" s="18" t="s">
        <v>272</v>
      </c>
      <c r="F158" s="18" t="s">
        <v>274</v>
      </c>
      <c r="G158" s="19">
        <f t="shared" si="30"/>
        <v>408</v>
      </c>
      <c r="H158" s="19">
        <f t="shared" si="24"/>
        <v>866.5920000000001</v>
      </c>
      <c r="I158" s="20" t="s">
        <v>22</v>
      </c>
      <c r="J158" s="21">
        <v>500</v>
      </c>
      <c r="K158" s="22">
        <v>1.8</v>
      </c>
      <c r="L158" s="22">
        <f t="shared" si="38"/>
        <v>0.32400000000000001</v>
      </c>
      <c r="M158" s="22">
        <f t="shared" si="39"/>
        <v>2.1240000000000001</v>
      </c>
      <c r="N158" s="23">
        <f t="shared" si="26"/>
        <v>1062</v>
      </c>
      <c r="O158" s="23">
        <f>12+30+25+15+9+1</f>
        <v>92</v>
      </c>
      <c r="P158" s="22">
        <f t="shared" si="31"/>
        <v>408</v>
      </c>
      <c r="Q158" s="22">
        <f t="shared" si="27"/>
        <v>866.5920000000001</v>
      </c>
      <c r="R158" s="20" t="s">
        <v>25</v>
      </c>
      <c r="S158" s="24">
        <f>Q158/P158</f>
        <v>2.1240000000000001</v>
      </c>
    </row>
    <row r="159" spans="2:19" s="25" customFormat="1" ht="20.25" x14ac:dyDescent="0.3">
      <c r="B159" s="16">
        <f t="shared" si="34"/>
        <v>151</v>
      </c>
      <c r="C159" s="17">
        <v>43252</v>
      </c>
      <c r="D159" s="17">
        <v>43254</v>
      </c>
      <c r="E159" s="18" t="s">
        <v>270</v>
      </c>
      <c r="F159" s="18" t="s">
        <v>275</v>
      </c>
      <c r="G159" s="19">
        <f t="shared" si="30"/>
        <v>934</v>
      </c>
      <c r="H159" s="19">
        <f t="shared" ref="H159:H181" si="40">$P159*$M159</f>
        <v>3306.36</v>
      </c>
      <c r="I159" s="20" t="s">
        <v>22</v>
      </c>
      <c r="J159" s="21">
        <v>1000</v>
      </c>
      <c r="K159" s="22">
        <v>3</v>
      </c>
      <c r="L159" s="22">
        <f t="shared" si="38"/>
        <v>0.54</v>
      </c>
      <c r="M159" s="22">
        <f t="shared" si="39"/>
        <v>3.54</v>
      </c>
      <c r="N159" s="23">
        <f t="shared" ref="N159:N191" si="41">$J159*$M159</f>
        <v>3540</v>
      </c>
      <c r="O159" s="23">
        <f>1+1+1+10+4+2+5+10+2+30</f>
        <v>66</v>
      </c>
      <c r="P159" s="22">
        <f t="shared" si="31"/>
        <v>934</v>
      </c>
      <c r="Q159" s="22">
        <f t="shared" ref="Q159:Q191" si="42">$P159*$M159</f>
        <v>3306.36</v>
      </c>
      <c r="R159" s="22" t="s">
        <v>32</v>
      </c>
    </row>
    <row r="160" spans="2:19" s="25" customFormat="1" ht="20.25" x14ac:dyDescent="0.3">
      <c r="B160" s="16">
        <f t="shared" si="34"/>
        <v>152</v>
      </c>
      <c r="C160" s="17">
        <v>43252</v>
      </c>
      <c r="D160" s="17">
        <v>43253</v>
      </c>
      <c r="E160" s="18" t="s">
        <v>276</v>
      </c>
      <c r="F160" s="18" t="s">
        <v>277</v>
      </c>
      <c r="G160" s="19">
        <f t="shared" si="30"/>
        <v>6</v>
      </c>
      <c r="H160" s="19">
        <f t="shared" si="40"/>
        <v>460.20000000000005</v>
      </c>
      <c r="I160" s="20" t="s">
        <v>22</v>
      </c>
      <c r="J160" s="21">
        <v>13</v>
      </c>
      <c r="K160" s="20">
        <v>65</v>
      </c>
      <c r="L160" s="22">
        <f t="shared" si="38"/>
        <v>11.7</v>
      </c>
      <c r="M160" s="22">
        <f t="shared" si="39"/>
        <v>76.7</v>
      </c>
      <c r="N160" s="23">
        <f t="shared" si="41"/>
        <v>997.1</v>
      </c>
      <c r="O160" s="23">
        <f>3+3+1</f>
        <v>7</v>
      </c>
      <c r="P160" s="22">
        <f t="shared" si="31"/>
        <v>6</v>
      </c>
      <c r="Q160" s="22">
        <f t="shared" si="42"/>
        <v>460.20000000000005</v>
      </c>
      <c r="R160" s="20"/>
      <c r="S160" s="24">
        <f t="shared" ref="S160:S165" si="43">Q160/P160</f>
        <v>76.7</v>
      </c>
    </row>
    <row r="161" spans="2:20" s="25" customFormat="1" ht="20.25" x14ac:dyDescent="0.3">
      <c r="B161" s="16">
        <f t="shared" si="34"/>
        <v>153</v>
      </c>
      <c r="C161" s="17">
        <v>43252</v>
      </c>
      <c r="D161" s="17">
        <v>43253</v>
      </c>
      <c r="E161" s="18" t="s">
        <v>276</v>
      </c>
      <c r="F161" s="18" t="s">
        <v>277</v>
      </c>
      <c r="G161" s="19">
        <f t="shared" si="30"/>
        <v>8</v>
      </c>
      <c r="H161" s="19">
        <f t="shared" si="40"/>
        <v>2832</v>
      </c>
      <c r="I161" s="20" t="s">
        <v>22</v>
      </c>
      <c r="J161" s="21">
        <v>10</v>
      </c>
      <c r="K161" s="20">
        <v>300</v>
      </c>
      <c r="L161" s="22">
        <f t="shared" si="38"/>
        <v>54</v>
      </c>
      <c r="M161" s="22">
        <f t="shared" si="39"/>
        <v>354</v>
      </c>
      <c r="N161" s="23">
        <f t="shared" si="41"/>
        <v>3540</v>
      </c>
      <c r="O161" s="23">
        <v>2</v>
      </c>
      <c r="P161" s="22">
        <f t="shared" si="31"/>
        <v>8</v>
      </c>
      <c r="Q161" s="22">
        <f t="shared" si="42"/>
        <v>2832</v>
      </c>
      <c r="R161" s="20" t="s">
        <v>25</v>
      </c>
      <c r="S161" s="24">
        <f t="shared" si="43"/>
        <v>354</v>
      </c>
    </row>
    <row r="162" spans="2:20" s="25" customFormat="1" ht="20.25" x14ac:dyDescent="0.3">
      <c r="B162" s="16">
        <f>+B161+1</f>
        <v>154</v>
      </c>
      <c r="C162" s="17">
        <v>43830</v>
      </c>
      <c r="D162" s="17">
        <v>43858</v>
      </c>
      <c r="E162" s="18" t="s">
        <v>278</v>
      </c>
      <c r="F162" s="18" t="s">
        <v>279</v>
      </c>
      <c r="G162" s="19">
        <f t="shared" si="30"/>
        <v>6</v>
      </c>
      <c r="H162" s="19">
        <f t="shared" si="40"/>
        <v>566.40000000000009</v>
      </c>
      <c r="I162" s="20" t="s">
        <v>22</v>
      </c>
      <c r="J162" s="21">
        <v>11</v>
      </c>
      <c r="K162" s="20">
        <v>80</v>
      </c>
      <c r="L162" s="22">
        <f t="shared" si="38"/>
        <v>14.399999999999999</v>
      </c>
      <c r="M162" s="22">
        <f t="shared" si="39"/>
        <v>94.4</v>
      </c>
      <c r="N162" s="23">
        <f t="shared" si="41"/>
        <v>1038.4000000000001</v>
      </c>
      <c r="O162" s="23">
        <f>3+2</f>
        <v>5</v>
      </c>
      <c r="P162" s="22">
        <f t="shared" si="31"/>
        <v>6</v>
      </c>
      <c r="Q162" s="22">
        <f t="shared" si="42"/>
        <v>566.40000000000009</v>
      </c>
      <c r="R162" s="20"/>
      <c r="S162" s="24">
        <f t="shared" si="43"/>
        <v>94.40000000000002</v>
      </c>
    </row>
    <row r="163" spans="2:20" s="25" customFormat="1" ht="20.25" x14ac:dyDescent="0.3">
      <c r="B163" s="16">
        <f t="shared" si="34"/>
        <v>155</v>
      </c>
      <c r="C163" s="17">
        <v>43609</v>
      </c>
      <c r="D163" s="17">
        <v>43612</v>
      </c>
      <c r="E163" s="18" t="s">
        <v>280</v>
      </c>
      <c r="F163" s="18" t="s">
        <v>281</v>
      </c>
      <c r="G163" s="19">
        <f t="shared" si="30"/>
        <v>2</v>
      </c>
      <c r="H163" s="19">
        <f t="shared" si="40"/>
        <v>460.2</v>
      </c>
      <c r="I163" s="20" t="s">
        <v>22</v>
      </c>
      <c r="J163" s="21">
        <v>24</v>
      </c>
      <c r="K163" s="20">
        <v>195</v>
      </c>
      <c r="L163" s="22">
        <f t="shared" si="38"/>
        <v>35.1</v>
      </c>
      <c r="M163" s="22">
        <f t="shared" si="39"/>
        <v>230.1</v>
      </c>
      <c r="N163" s="23">
        <f t="shared" si="41"/>
        <v>5522.4</v>
      </c>
      <c r="O163" s="23">
        <v>22</v>
      </c>
      <c r="P163" s="22">
        <f t="shared" si="31"/>
        <v>2</v>
      </c>
      <c r="Q163" s="22">
        <f t="shared" si="42"/>
        <v>460.2</v>
      </c>
      <c r="R163" s="20" t="s">
        <v>25</v>
      </c>
      <c r="S163" s="24">
        <f t="shared" si="43"/>
        <v>230.1</v>
      </c>
    </row>
    <row r="164" spans="2:20" s="25" customFormat="1" ht="20.25" x14ac:dyDescent="0.3">
      <c r="B164" s="16">
        <f t="shared" si="34"/>
        <v>156</v>
      </c>
      <c r="C164" s="17">
        <v>43609</v>
      </c>
      <c r="D164" s="17">
        <v>43612</v>
      </c>
      <c r="E164" s="18" t="s">
        <v>280</v>
      </c>
      <c r="F164" s="18" t="s">
        <v>281</v>
      </c>
      <c r="G164" s="19">
        <f t="shared" si="30"/>
        <v>2</v>
      </c>
      <c r="H164" s="19">
        <f t="shared" si="40"/>
        <v>424.8</v>
      </c>
      <c r="I164" s="20" t="s">
        <v>22</v>
      </c>
      <c r="J164" s="21">
        <v>10</v>
      </c>
      <c r="K164" s="20">
        <v>180</v>
      </c>
      <c r="L164" s="22">
        <f t="shared" si="38"/>
        <v>32.4</v>
      </c>
      <c r="M164" s="22">
        <f t="shared" si="39"/>
        <v>212.4</v>
      </c>
      <c r="N164" s="23">
        <f t="shared" si="41"/>
        <v>2124</v>
      </c>
      <c r="O164" s="23">
        <v>8</v>
      </c>
      <c r="P164" s="22">
        <f t="shared" si="31"/>
        <v>2</v>
      </c>
      <c r="Q164" s="22">
        <f t="shared" si="42"/>
        <v>424.8</v>
      </c>
      <c r="R164" s="20" t="s">
        <v>25</v>
      </c>
      <c r="S164" s="24">
        <f t="shared" si="43"/>
        <v>212.4</v>
      </c>
    </row>
    <row r="165" spans="2:20" s="25" customFormat="1" ht="20.25" x14ac:dyDescent="0.3">
      <c r="B165" s="16">
        <f t="shared" si="34"/>
        <v>157</v>
      </c>
      <c r="C165" s="17">
        <v>43252</v>
      </c>
      <c r="D165" s="17">
        <v>43253</v>
      </c>
      <c r="E165" s="18" t="s">
        <v>282</v>
      </c>
      <c r="F165" s="18" t="s">
        <v>283</v>
      </c>
      <c r="G165" s="19">
        <f t="shared" si="30"/>
        <v>1</v>
      </c>
      <c r="H165" s="19">
        <f t="shared" si="40"/>
        <v>61</v>
      </c>
      <c r="I165" s="20" t="s">
        <v>22</v>
      </c>
      <c r="J165" s="21">
        <v>10</v>
      </c>
      <c r="K165" s="20">
        <f>61</f>
        <v>61</v>
      </c>
      <c r="L165" s="22">
        <v>0</v>
      </c>
      <c r="M165" s="22">
        <f>+K165</f>
        <v>61</v>
      </c>
      <c r="N165" s="23">
        <f t="shared" si="41"/>
        <v>610</v>
      </c>
      <c r="O165" s="23">
        <f>3+1+1+1+1+1+1</f>
        <v>9</v>
      </c>
      <c r="P165" s="22">
        <f t="shared" si="31"/>
        <v>1</v>
      </c>
      <c r="Q165" s="22">
        <f t="shared" si="42"/>
        <v>61</v>
      </c>
      <c r="R165" s="20" t="s">
        <v>54</v>
      </c>
      <c r="S165" s="24">
        <f t="shared" si="43"/>
        <v>61</v>
      </c>
    </row>
    <row r="166" spans="2:20" s="25" customFormat="1" ht="20.25" x14ac:dyDescent="0.3">
      <c r="B166" s="16">
        <f t="shared" si="34"/>
        <v>158</v>
      </c>
      <c r="C166" s="17">
        <v>44162</v>
      </c>
      <c r="D166" s="17">
        <v>44187</v>
      </c>
      <c r="E166" s="18" t="s">
        <v>282</v>
      </c>
      <c r="F166" s="18" t="s">
        <v>283</v>
      </c>
      <c r="G166" s="19">
        <f t="shared" si="30"/>
        <v>20</v>
      </c>
      <c r="H166" s="19">
        <f t="shared" si="40"/>
        <v>944</v>
      </c>
      <c r="I166" s="20" t="s">
        <v>22</v>
      </c>
      <c r="J166" s="21">
        <v>20</v>
      </c>
      <c r="K166" s="20">
        <v>40</v>
      </c>
      <c r="L166" s="22">
        <f t="shared" ref="L166:L181" si="44">+K166*18%</f>
        <v>7.1999999999999993</v>
      </c>
      <c r="M166" s="22">
        <f t="shared" ref="M166:M172" si="45">+K166+L166</f>
        <v>47.2</v>
      </c>
      <c r="N166" s="23">
        <f t="shared" si="41"/>
        <v>944</v>
      </c>
      <c r="O166" s="23">
        <v>0</v>
      </c>
      <c r="P166" s="22">
        <f t="shared" si="31"/>
        <v>20</v>
      </c>
      <c r="Q166" s="22">
        <f t="shared" si="42"/>
        <v>944</v>
      </c>
      <c r="R166" s="20" t="s">
        <v>32</v>
      </c>
      <c r="S166" s="24"/>
    </row>
    <row r="167" spans="2:20" s="25" customFormat="1" ht="20.25" x14ac:dyDescent="0.3">
      <c r="B167" s="16">
        <f t="shared" si="34"/>
        <v>159</v>
      </c>
      <c r="C167" s="17">
        <v>44162</v>
      </c>
      <c r="D167" s="17">
        <v>44187</v>
      </c>
      <c r="E167" s="18" t="s">
        <v>284</v>
      </c>
      <c r="F167" s="18" t="s">
        <v>285</v>
      </c>
      <c r="G167" s="19">
        <f t="shared" si="30"/>
        <v>5</v>
      </c>
      <c r="H167" s="19">
        <f t="shared" si="40"/>
        <v>2506.3200000000002</v>
      </c>
      <c r="I167" s="20" t="s">
        <v>22</v>
      </c>
      <c r="J167" s="21">
        <v>5</v>
      </c>
      <c r="K167" s="20">
        <v>424.8</v>
      </c>
      <c r="L167" s="22">
        <f t="shared" si="44"/>
        <v>76.463999999999999</v>
      </c>
      <c r="M167" s="22">
        <f t="shared" si="45"/>
        <v>501.26400000000001</v>
      </c>
      <c r="N167" s="23">
        <f t="shared" si="41"/>
        <v>2506.3200000000002</v>
      </c>
      <c r="O167" s="23">
        <v>0</v>
      </c>
      <c r="P167" s="22">
        <f t="shared" si="31"/>
        <v>5</v>
      </c>
      <c r="Q167" s="22">
        <f t="shared" si="42"/>
        <v>2506.3200000000002</v>
      </c>
      <c r="R167" s="20"/>
      <c r="S167" s="24">
        <f t="shared" ref="S167:S181" si="46">Q167/P167</f>
        <v>501.26400000000001</v>
      </c>
    </row>
    <row r="168" spans="2:20" s="25" customFormat="1" ht="20.25" x14ac:dyDescent="0.3">
      <c r="B168" s="16">
        <f t="shared" si="34"/>
        <v>160</v>
      </c>
      <c r="C168" s="17">
        <v>43207</v>
      </c>
      <c r="D168" s="17">
        <v>43208</v>
      </c>
      <c r="E168" s="18" t="s">
        <v>284</v>
      </c>
      <c r="F168" s="18" t="s">
        <v>285</v>
      </c>
      <c r="G168" s="19">
        <f t="shared" si="30"/>
        <v>5</v>
      </c>
      <c r="H168" s="19">
        <f t="shared" si="40"/>
        <v>1180</v>
      </c>
      <c r="I168" s="20" t="s">
        <v>22</v>
      </c>
      <c r="J168" s="21">
        <v>5</v>
      </c>
      <c r="K168" s="20">
        <v>200</v>
      </c>
      <c r="L168" s="22">
        <f t="shared" si="44"/>
        <v>36</v>
      </c>
      <c r="M168" s="22">
        <f t="shared" si="45"/>
        <v>236</v>
      </c>
      <c r="N168" s="23">
        <f t="shared" si="41"/>
        <v>1180</v>
      </c>
      <c r="O168" s="23"/>
      <c r="P168" s="22">
        <f t="shared" si="31"/>
        <v>5</v>
      </c>
      <c r="Q168" s="22">
        <f t="shared" si="42"/>
        <v>1180</v>
      </c>
      <c r="R168" s="20" t="s">
        <v>25</v>
      </c>
      <c r="S168" s="24">
        <f t="shared" si="46"/>
        <v>236</v>
      </c>
    </row>
    <row r="169" spans="2:20" s="25" customFormat="1" ht="20.25" x14ac:dyDescent="0.3">
      <c r="B169" s="16">
        <f t="shared" si="34"/>
        <v>161</v>
      </c>
      <c r="C169" s="17">
        <v>43830</v>
      </c>
      <c r="D169" s="17">
        <v>43859</v>
      </c>
      <c r="E169" s="18" t="s">
        <v>286</v>
      </c>
      <c r="F169" s="18" t="s">
        <v>287</v>
      </c>
      <c r="G169" s="19">
        <f t="shared" si="30"/>
        <v>5</v>
      </c>
      <c r="H169" s="19">
        <f t="shared" si="40"/>
        <v>424.79999999999995</v>
      </c>
      <c r="I169" s="20" t="s">
        <v>22</v>
      </c>
      <c r="J169" s="21">
        <v>5</v>
      </c>
      <c r="K169" s="20">
        <v>72</v>
      </c>
      <c r="L169" s="22">
        <f t="shared" si="44"/>
        <v>12.959999999999999</v>
      </c>
      <c r="M169" s="22">
        <f t="shared" si="45"/>
        <v>84.96</v>
      </c>
      <c r="N169" s="23">
        <f t="shared" si="41"/>
        <v>424.79999999999995</v>
      </c>
      <c r="O169" s="23"/>
      <c r="P169" s="22">
        <f t="shared" si="31"/>
        <v>5</v>
      </c>
      <c r="Q169" s="22">
        <f t="shared" si="42"/>
        <v>424.79999999999995</v>
      </c>
      <c r="R169" s="20"/>
      <c r="S169" s="24">
        <f t="shared" si="46"/>
        <v>84.96</v>
      </c>
    </row>
    <row r="170" spans="2:20" s="25" customFormat="1" ht="20.25" x14ac:dyDescent="0.3">
      <c r="B170" s="16">
        <f>+B169+1</f>
        <v>162</v>
      </c>
      <c r="C170" s="17">
        <v>43830</v>
      </c>
      <c r="D170" s="17">
        <v>43858</v>
      </c>
      <c r="E170" s="18" t="s">
        <v>288</v>
      </c>
      <c r="F170" s="18" t="s">
        <v>289</v>
      </c>
      <c r="G170" s="19">
        <f t="shared" si="30"/>
        <v>1</v>
      </c>
      <c r="H170" s="19">
        <f t="shared" si="40"/>
        <v>2183</v>
      </c>
      <c r="I170" s="20" t="s">
        <v>22</v>
      </c>
      <c r="J170" s="21">
        <v>2</v>
      </c>
      <c r="K170" s="22">
        <v>1850</v>
      </c>
      <c r="L170" s="22">
        <f t="shared" si="44"/>
        <v>333</v>
      </c>
      <c r="M170" s="22">
        <f t="shared" si="45"/>
        <v>2183</v>
      </c>
      <c r="N170" s="23">
        <f t="shared" si="41"/>
        <v>4366</v>
      </c>
      <c r="O170" s="23">
        <v>1</v>
      </c>
      <c r="P170" s="22">
        <f t="shared" si="31"/>
        <v>1</v>
      </c>
      <c r="Q170" s="22">
        <f t="shared" si="42"/>
        <v>2183</v>
      </c>
      <c r="R170" s="20" t="s">
        <v>32</v>
      </c>
      <c r="S170" s="24">
        <f t="shared" si="46"/>
        <v>2183</v>
      </c>
    </row>
    <row r="171" spans="2:20" s="25" customFormat="1" ht="20.25" x14ac:dyDescent="0.3">
      <c r="B171" s="16">
        <f t="shared" si="34"/>
        <v>163</v>
      </c>
      <c r="C171" s="17">
        <v>43830</v>
      </c>
      <c r="D171" s="17">
        <v>43858</v>
      </c>
      <c r="E171" s="18" t="s">
        <v>290</v>
      </c>
      <c r="F171" s="18" t="s">
        <v>291</v>
      </c>
      <c r="G171" s="19">
        <f t="shared" si="30"/>
        <v>1</v>
      </c>
      <c r="H171" s="19">
        <f t="shared" si="40"/>
        <v>2183</v>
      </c>
      <c r="I171" s="20" t="s">
        <v>22</v>
      </c>
      <c r="J171" s="21">
        <v>2</v>
      </c>
      <c r="K171" s="22">
        <v>1850</v>
      </c>
      <c r="L171" s="22">
        <f t="shared" si="44"/>
        <v>333</v>
      </c>
      <c r="M171" s="22">
        <f t="shared" si="45"/>
        <v>2183</v>
      </c>
      <c r="N171" s="23">
        <f t="shared" si="41"/>
        <v>4366</v>
      </c>
      <c r="O171" s="23">
        <v>1</v>
      </c>
      <c r="P171" s="22">
        <f t="shared" si="31"/>
        <v>1</v>
      </c>
      <c r="Q171" s="22">
        <f t="shared" si="42"/>
        <v>2183</v>
      </c>
      <c r="R171" s="20" t="s">
        <v>32</v>
      </c>
      <c r="S171" s="24">
        <f t="shared" si="46"/>
        <v>2183</v>
      </c>
    </row>
    <row r="172" spans="2:20" s="25" customFormat="1" ht="20.25" x14ac:dyDescent="0.3">
      <c r="B172" s="16">
        <f t="shared" si="34"/>
        <v>164</v>
      </c>
      <c r="C172" s="17">
        <v>43830</v>
      </c>
      <c r="D172" s="17">
        <v>43858</v>
      </c>
      <c r="E172" s="18" t="s">
        <v>290</v>
      </c>
      <c r="F172" s="18" t="s">
        <v>292</v>
      </c>
      <c r="G172" s="19">
        <f t="shared" si="30"/>
        <v>1</v>
      </c>
      <c r="H172" s="19">
        <f t="shared" si="40"/>
        <v>4465.9931999999999</v>
      </c>
      <c r="I172" s="20" t="s">
        <v>22</v>
      </c>
      <c r="J172" s="21">
        <v>3</v>
      </c>
      <c r="K172" s="22">
        <v>3784.74</v>
      </c>
      <c r="L172" s="22">
        <f t="shared" si="44"/>
        <v>681.25319999999988</v>
      </c>
      <c r="M172" s="22">
        <f t="shared" si="45"/>
        <v>4465.9931999999999</v>
      </c>
      <c r="N172" s="23">
        <f t="shared" si="41"/>
        <v>13397.979599999999</v>
      </c>
      <c r="O172" s="23">
        <v>2</v>
      </c>
      <c r="P172" s="22">
        <f t="shared" si="31"/>
        <v>1</v>
      </c>
      <c r="Q172" s="22">
        <f t="shared" si="42"/>
        <v>4465.9931999999999</v>
      </c>
      <c r="R172" s="20"/>
      <c r="S172" s="24">
        <f t="shared" si="46"/>
        <v>4465.9931999999999</v>
      </c>
    </row>
    <row r="173" spans="2:20" s="25" customFormat="1" ht="20.25" x14ac:dyDescent="0.3">
      <c r="B173" s="16">
        <f t="shared" si="34"/>
        <v>165</v>
      </c>
      <c r="C173" s="17">
        <v>43830</v>
      </c>
      <c r="D173" s="17">
        <v>43858</v>
      </c>
      <c r="E173" s="18" t="s">
        <v>293</v>
      </c>
      <c r="F173" s="18" t="s">
        <v>294</v>
      </c>
      <c r="G173" s="19">
        <f t="shared" si="30"/>
        <v>3</v>
      </c>
      <c r="H173" s="19">
        <f t="shared" si="40"/>
        <v>8885.58</v>
      </c>
      <c r="I173" s="20" t="s">
        <v>22</v>
      </c>
      <c r="J173" s="21">
        <v>10</v>
      </c>
      <c r="K173" s="22">
        <v>2961.86</v>
      </c>
      <c r="L173" s="22">
        <f t="shared" si="44"/>
        <v>533.13480000000004</v>
      </c>
      <c r="M173" s="22">
        <f t="shared" ref="M173:M180" si="47">+K173</f>
        <v>2961.86</v>
      </c>
      <c r="N173" s="23">
        <f t="shared" si="41"/>
        <v>29618.600000000002</v>
      </c>
      <c r="O173" s="23">
        <f>1+1+1+2+1+1</f>
        <v>7</v>
      </c>
      <c r="P173" s="22">
        <f t="shared" si="31"/>
        <v>3</v>
      </c>
      <c r="Q173" s="22">
        <f t="shared" si="42"/>
        <v>8885.58</v>
      </c>
      <c r="R173" s="20" t="s">
        <v>295</v>
      </c>
      <c r="S173" s="24">
        <f t="shared" si="46"/>
        <v>2961.86</v>
      </c>
    </row>
    <row r="174" spans="2:20" s="25" customFormat="1" ht="20.25" x14ac:dyDescent="0.3">
      <c r="B174" s="16">
        <f t="shared" si="34"/>
        <v>166</v>
      </c>
      <c r="C174" s="17">
        <v>43830</v>
      </c>
      <c r="D174" s="17">
        <v>43858</v>
      </c>
      <c r="E174" s="18" t="s">
        <v>296</v>
      </c>
      <c r="F174" s="18" t="s">
        <v>297</v>
      </c>
      <c r="G174" s="19">
        <f t="shared" si="30"/>
        <v>6</v>
      </c>
      <c r="H174" s="19">
        <f t="shared" si="40"/>
        <v>22271.16</v>
      </c>
      <c r="I174" s="20" t="s">
        <v>22</v>
      </c>
      <c r="J174" s="21">
        <v>10</v>
      </c>
      <c r="K174" s="22">
        <v>3711.86</v>
      </c>
      <c r="L174" s="22">
        <f t="shared" si="44"/>
        <v>668.13480000000004</v>
      </c>
      <c r="M174" s="22">
        <f t="shared" si="47"/>
        <v>3711.86</v>
      </c>
      <c r="N174" s="23">
        <f t="shared" si="41"/>
        <v>37118.6</v>
      </c>
      <c r="O174" s="23">
        <f>1+1+1+1</f>
        <v>4</v>
      </c>
      <c r="P174" s="22">
        <f t="shared" si="31"/>
        <v>6</v>
      </c>
      <c r="Q174" s="22">
        <f t="shared" si="42"/>
        <v>22271.16</v>
      </c>
      <c r="R174" s="20" t="s">
        <v>295</v>
      </c>
      <c r="S174" s="24">
        <f t="shared" si="46"/>
        <v>3711.86</v>
      </c>
      <c r="T174" s="29"/>
    </row>
    <row r="175" spans="2:20" s="25" customFormat="1" ht="20.25" x14ac:dyDescent="0.3">
      <c r="B175" s="16">
        <f t="shared" si="34"/>
        <v>167</v>
      </c>
      <c r="C175" s="17">
        <v>43830</v>
      </c>
      <c r="D175" s="17">
        <v>43858</v>
      </c>
      <c r="E175" s="18" t="s">
        <v>298</v>
      </c>
      <c r="F175" s="18" t="s">
        <v>299</v>
      </c>
      <c r="G175" s="19">
        <f t="shared" ref="G175:G194" si="48">$J175-$O175</f>
        <v>5</v>
      </c>
      <c r="H175" s="19">
        <f t="shared" si="40"/>
        <v>18559.3</v>
      </c>
      <c r="I175" s="20" t="s">
        <v>22</v>
      </c>
      <c r="J175" s="21">
        <v>10</v>
      </c>
      <c r="K175" s="22">
        <v>3711.86</v>
      </c>
      <c r="L175" s="22">
        <f t="shared" si="44"/>
        <v>668.13480000000004</v>
      </c>
      <c r="M175" s="22">
        <f t="shared" si="47"/>
        <v>3711.86</v>
      </c>
      <c r="N175" s="23">
        <f t="shared" si="41"/>
        <v>37118.6</v>
      </c>
      <c r="O175" s="23">
        <f>1+1+1+1+1</f>
        <v>5</v>
      </c>
      <c r="P175" s="22">
        <f t="shared" ref="P175:P194" si="49">$J175-$O175</f>
        <v>5</v>
      </c>
      <c r="Q175" s="22">
        <f t="shared" si="42"/>
        <v>18559.3</v>
      </c>
      <c r="R175" s="20" t="s">
        <v>295</v>
      </c>
      <c r="S175" s="24">
        <f t="shared" si="46"/>
        <v>3711.8599999999997</v>
      </c>
      <c r="T175" s="29"/>
    </row>
    <row r="176" spans="2:20" s="25" customFormat="1" ht="20.25" x14ac:dyDescent="0.3">
      <c r="B176" s="16">
        <f t="shared" si="34"/>
        <v>168</v>
      </c>
      <c r="C176" s="17">
        <v>43830</v>
      </c>
      <c r="D176" s="17">
        <v>43858</v>
      </c>
      <c r="E176" s="18" t="s">
        <v>300</v>
      </c>
      <c r="F176" s="18" t="s">
        <v>301</v>
      </c>
      <c r="G176" s="19">
        <f t="shared" si="48"/>
        <v>8</v>
      </c>
      <c r="H176" s="19">
        <f t="shared" si="40"/>
        <v>29694.880000000001</v>
      </c>
      <c r="I176" s="20" t="s">
        <v>22</v>
      </c>
      <c r="J176" s="21">
        <v>10</v>
      </c>
      <c r="K176" s="22">
        <v>3711.86</v>
      </c>
      <c r="L176" s="22">
        <f t="shared" si="44"/>
        <v>668.13480000000004</v>
      </c>
      <c r="M176" s="22">
        <f t="shared" si="47"/>
        <v>3711.86</v>
      </c>
      <c r="N176" s="23">
        <f t="shared" si="41"/>
        <v>37118.6</v>
      </c>
      <c r="O176" s="23">
        <f>1+1</f>
        <v>2</v>
      </c>
      <c r="P176" s="22">
        <f t="shared" si="49"/>
        <v>8</v>
      </c>
      <c r="Q176" s="22">
        <f t="shared" si="42"/>
        <v>29694.880000000001</v>
      </c>
      <c r="R176" s="20" t="s">
        <v>295</v>
      </c>
      <c r="S176" s="24">
        <f t="shared" si="46"/>
        <v>3711.86</v>
      </c>
      <c r="T176" s="29"/>
    </row>
    <row r="177" spans="2:20" s="25" customFormat="1" ht="24" customHeight="1" x14ac:dyDescent="0.3">
      <c r="B177" s="16">
        <f t="shared" si="34"/>
        <v>169</v>
      </c>
      <c r="C177" s="17">
        <v>44162</v>
      </c>
      <c r="D177" s="17">
        <v>44187</v>
      </c>
      <c r="E177" s="18" t="s">
        <v>302</v>
      </c>
      <c r="F177" s="18" t="s">
        <v>303</v>
      </c>
      <c r="G177" s="19">
        <f t="shared" si="48"/>
        <v>2</v>
      </c>
      <c r="H177" s="19">
        <f t="shared" si="40"/>
        <v>6771.18</v>
      </c>
      <c r="I177" s="20" t="s">
        <v>22</v>
      </c>
      <c r="J177" s="21">
        <v>3</v>
      </c>
      <c r="K177" s="22">
        <v>3385.59</v>
      </c>
      <c r="L177" s="22">
        <f t="shared" si="44"/>
        <v>609.40620000000001</v>
      </c>
      <c r="M177" s="22">
        <f t="shared" si="47"/>
        <v>3385.59</v>
      </c>
      <c r="N177" s="23">
        <f t="shared" si="41"/>
        <v>10156.77</v>
      </c>
      <c r="O177" s="23">
        <v>1</v>
      </c>
      <c r="P177" s="22">
        <f t="shared" si="49"/>
        <v>2</v>
      </c>
      <c r="Q177" s="22">
        <f t="shared" si="42"/>
        <v>6771.18</v>
      </c>
      <c r="R177" s="20" t="s">
        <v>295</v>
      </c>
      <c r="S177" s="24">
        <f t="shared" si="46"/>
        <v>3385.59</v>
      </c>
      <c r="T177" s="29"/>
    </row>
    <row r="178" spans="2:20" s="25" customFormat="1" ht="24" customHeight="1" x14ac:dyDescent="0.3">
      <c r="B178" s="16">
        <f t="shared" si="34"/>
        <v>170</v>
      </c>
      <c r="C178" s="17">
        <v>43252</v>
      </c>
      <c r="D178" s="17">
        <v>43253</v>
      </c>
      <c r="E178" s="18" t="s">
        <v>304</v>
      </c>
      <c r="F178" s="18" t="s">
        <v>305</v>
      </c>
      <c r="G178" s="19">
        <f t="shared" si="48"/>
        <v>2</v>
      </c>
      <c r="H178" s="19">
        <f t="shared" si="40"/>
        <v>6771.18</v>
      </c>
      <c r="I178" s="20" t="s">
        <v>22</v>
      </c>
      <c r="J178" s="21">
        <v>3</v>
      </c>
      <c r="K178" s="22">
        <v>3385.59</v>
      </c>
      <c r="L178" s="22">
        <f t="shared" si="44"/>
        <v>609.40620000000001</v>
      </c>
      <c r="M178" s="22">
        <f t="shared" si="47"/>
        <v>3385.59</v>
      </c>
      <c r="N178" s="23">
        <f t="shared" si="41"/>
        <v>10156.77</v>
      </c>
      <c r="O178" s="23">
        <v>1</v>
      </c>
      <c r="P178" s="22">
        <f t="shared" si="49"/>
        <v>2</v>
      </c>
      <c r="Q178" s="22">
        <f t="shared" si="42"/>
        <v>6771.18</v>
      </c>
      <c r="R178" s="20" t="s">
        <v>295</v>
      </c>
      <c r="S178" s="24">
        <f t="shared" si="46"/>
        <v>3385.59</v>
      </c>
      <c r="T178" s="29"/>
    </row>
    <row r="179" spans="2:20" s="25" customFormat="1" ht="24" customHeight="1" x14ac:dyDescent="0.3">
      <c r="B179" s="16">
        <f t="shared" si="34"/>
        <v>171</v>
      </c>
      <c r="C179" s="17">
        <v>43609</v>
      </c>
      <c r="D179" s="17">
        <v>43612</v>
      </c>
      <c r="E179" s="18" t="s">
        <v>306</v>
      </c>
      <c r="F179" s="18" t="s">
        <v>307</v>
      </c>
      <c r="G179" s="19">
        <f t="shared" si="48"/>
        <v>2</v>
      </c>
      <c r="H179" s="19">
        <f t="shared" si="40"/>
        <v>6771.18</v>
      </c>
      <c r="I179" s="20" t="s">
        <v>22</v>
      </c>
      <c r="J179" s="21">
        <v>3</v>
      </c>
      <c r="K179" s="22">
        <v>3385.59</v>
      </c>
      <c r="L179" s="22">
        <f t="shared" si="44"/>
        <v>609.40620000000001</v>
      </c>
      <c r="M179" s="22">
        <f t="shared" si="47"/>
        <v>3385.59</v>
      </c>
      <c r="N179" s="23">
        <f t="shared" si="41"/>
        <v>10156.77</v>
      </c>
      <c r="O179" s="23">
        <v>1</v>
      </c>
      <c r="P179" s="22">
        <f t="shared" si="49"/>
        <v>2</v>
      </c>
      <c r="Q179" s="22">
        <f t="shared" si="42"/>
        <v>6771.18</v>
      </c>
      <c r="R179" s="20" t="s">
        <v>295</v>
      </c>
      <c r="S179" s="24">
        <f t="shared" si="46"/>
        <v>3385.59</v>
      </c>
      <c r="T179" s="29"/>
    </row>
    <row r="180" spans="2:20" s="25" customFormat="1" ht="24" customHeight="1" x14ac:dyDescent="0.3">
      <c r="B180" s="16">
        <f t="shared" si="34"/>
        <v>172</v>
      </c>
      <c r="C180" s="17">
        <v>43252</v>
      </c>
      <c r="D180" s="17">
        <v>43253</v>
      </c>
      <c r="E180" s="18" t="s">
        <v>308</v>
      </c>
      <c r="F180" s="18" t="s">
        <v>309</v>
      </c>
      <c r="G180" s="19">
        <f t="shared" si="48"/>
        <v>1</v>
      </c>
      <c r="H180" s="19">
        <f t="shared" si="40"/>
        <v>3385.59</v>
      </c>
      <c r="I180" s="20" t="s">
        <v>22</v>
      </c>
      <c r="J180" s="21">
        <v>3</v>
      </c>
      <c r="K180" s="22">
        <v>3385.59</v>
      </c>
      <c r="L180" s="22">
        <f t="shared" si="44"/>
        <v>609.40620000000001</v>
      </c>
      <c r="M180" s="22">
        <f t="shared" si="47"/>
        <v>3385.59</v>
      </c>
      <c r="N180" s="23">
        <f t="shared" si="41"/>
        <v>10156.77</v>
      </c>
      <c r="O180" s="23">
        <f>1+1</f>
        <v>2</v>
      </c>
      <c r="P180" s="22">
        <f t="shared" si="49"/>
        <v>1</v>
      </c>
      <c r="Q180" s="22">
        <f t="shared" si="42"/>
        <v>3385.59</v>
      </c>
      <c r="R180" s="20" t="s">
        <v>295</v>
      </c>
      <c r="S180" s="24">
        <f t="shared" si="46"/>
        <v>3385.59</v>
      </c>
      <c r="T180" s="29"/>
    </row>
    <row r="181" spans="2:20" s="25" customFormat="1" ht="21" thickBot="1" x14ac:dyDescent="0.35">
      <c r="B181" s="16">
        <f t="shared" si="34"/>
        <v>173</v>
      </c>
      <c r="C181" s="17">
        <v>43609</v>
      </c>
      <c r="D181" s="17">
        <v>43612</v>
      </c>
      <c r="E181" s="18" t="s">
        <v>310</v>
      </c>
      <c r="F181" s="18" t="s">
        <v>311</v>
      </c>
      <c r="G181" s="19">
        <f t="shared" si="48"/>
        <v>13</v>
      </c>
      <c r="H181" s="19">
        <f t="shared" si="40"/>
        <v>920.4</v>
      </c>
      <c r="I181" s="20" t="s">
        <v>22</v>
      </c>
      <c r="J181" s="21">
        <v>20</v>
      </c>
      <c r="K181" s="22">
        <v>60</v>
      </c>
      <c r="L181" s="22">
        <f t="shared" si="44"/>
        <v>10.799999999999999</v>
      </c>
      <c r="M181" s="22">
        <f>+K181+L181</f>
        <v>70.8</v>
      </c>
      <c r="N181" s="23">
        <f t="shared" si="41"/>
        <v>1416</v>
      </c>
      <c r="O181" s="23">
        <f>3+1+1+1+1</f>
        <v>7</v>
      </c>
      <c r="P181" s="22">
        <f t="shared" si="49"/>
        <v>13</v>
      </c>
      <c r="Q181" s="22">
        <f t="shared" si="42"/>
        <v>920.4</v>
      </c>
      <c r="R181" s="20" t="s">
        <v>25</v>
      </c>
      <c r="S181" s="24">
        <f t="shared" si="46"/>
        <v>70.8</v>
      </c>
    </row>
    <row r="182" spans="2:20" s="43" customFormat="1" ht="21" thickBot="1" x14ac:dyDescent="0.35">
      <c r="B182" s="32"/>
      <c r="C182" s="33"/>
      <c r="D182" s="33"/>
      <c r="E182" s="33"/>
      <c r="F182" s="33"/>
      <c r="G182" s="34"/>
      <c r="H182" s="35">
        <f>SUM(H9:H181)</f>
        <v>644003.33152331773</v>
      </c>
      <c r="I182" s="8"/>
      <c r="J182" s="36"/>
      <c r="K182" s="37"/>
      <c r="L182" s="8"/>
      <c r="M182" s="8"/>
      <c r="N182" s="23"/>
      <c r="O182" s="38"/>
      <c r="P182" s="39"/>
      <c r="Q182" s="40">
        <f ca="1">SUM(Q9:Q198)</f>
        <v>848402.75130109559</v>
      </c>
      <c r="R182" s="8"/>
      <c r="S182" s="41"/>
      <c r="T182" s="42"/>
    </row>
    <row r="183" spans="2:20" ht="36.75" customHeight="1" x14ac:dyDescent="0.5">
      <c r="B183" s="10" t="s">
        <v>312</v>
      </c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44"/>
    </row>
    <row r="184" spans="2:20" s="15" customFormat="1" ht="20.25" x14ac:dyDescent="0.3">
      <c r="B184" s="11" t="s">
        <v>5</v>
      </c>
      <c r="C184" s="12" t="s">
        <v>6</v>
      </c>
      <c r="D184" s="12" t="s">
        <v>7</v>
      </c>
      <c r="E184" s="12" t="s">
        <v>8</v>
      </c>
      <c r="F184" s="12" t="s">
        <v>9</v>
      </c>
      <c r="G184" s="12" t="s">
        <v>10</v>
      </c>
      <c r="H184" s="12" t="s">
        <v>11</v>
      </c>
      <c r="I184" s="13" t="s">
        <v>12</v>
      </c>
      <c r="J184" s="13" t="s">
        <v>13</v>
      </c>
      <c r="K184" s="13" t="s">
        <v>14</v>
      </c>
      <c r="L184" s="13" t="s">
        <v>15</v>
      </c>
      <c r="M184" s="13" t="s">
        <v>16</v>
      </c>
      <c r="N184" s="14" t="s">
        <v>17</v>
      </c>
      <c r="O184" s="14" t="s">
        <v>18</v>
      </c>
      <c r="P184" s="13" t="s">
        <v>10</v>
      </c>
      <c r="Q184" s="13" t="s">
        <v>11</v>
      </c>
      <c r="R184" s="13" t="s">
        <v>19</v>
      </c>
    </row>
    <row r="185" spans="2:20" s="25" customFormat="1" ht="20.25" x14ac:dyDescent="0.3">
      <c r="B185" s="16">
        <v>1</v>
      </c>
      <c r="C185" s="17">
        <v>43252</v>
      </c>
      <c r="D185" s="17">
        <v>43254</v>
      </c>
      <c r="E185" s="18" t="s">
        <v>313</v>
      </c>
      <c r="F185" s="18" t="s">
        <v>314</v>
      </c>
      <c r="G185" s="19">
        <f t="shared" ref="G185:G205" si="50">$J185-$O185</f>
        <v>24</v>
      </c>
      <c r="H185" s="19">
        <f t="shared" ref="H185:H205" si="51">$P185*$M185</f>
        <v>566.40000000000009</v>
      </c>
      <c r="I185" s="20" t="s">
        <v>22</v>
      </c>
      <c r="J185" s="21">
        <v>24</v>
      </c>
      <c r="K185" s="22">
        <v>20</v>
      </c>
      <c r="L185" s="22">
        <f t="shared" ref="L185:L205" si="52">+K185*18%</f>
        <v>3.5999999999999996</v>
      </c>
      <c r="M185" s="22">
        <f t="shared" ref="M185:M205" si="53">+K185+L185</f>
        <v>23.6</v>
      </c>
      <c r="N185" s="23">
        <f t="shared" ref="N185:N205" si="54">$J185*$M185</f>
        <v>566.40000000000009</v>
      </c>
      <c r="O185" s="23"/>
      <c r="P185" s="22">
        <f t="shared" ref="P185:P205" si="55">$J185-$O185</f>
        <v>24</v>
      </c>
      <c r="Q185" s="22">
        <f t="shared" ref="Q185:Q205" si="56">$P185*$M185</f>
        <v>566.40000000000009</v>
      </c>
      <c r="R185" s="20"/>
      <c r="S185" s="24">
        <f>Q185/P185</f>
        <v>23.600000000000005</v>
      </c>
    </row>
    <row r="186" spans="2:20" s="25" customFormat="1" ht="20.25" x14ac:dyDescent="0.3">
      <c r="B186" s="16">
        <f>+B185+1</f>
        <v>2</v>
      </c>
      <c r="C186" s="17" t="s">
        <v>315</v>
      </c>
      <c r="D186" s="17">
        <v>44214</v>
      </c>
      <c r="E186" s="18" t="s">
        <v>316</v>
      </c>
      <c r="F186" s="18" t="s">
        <v>317</v>
      </c>
      <c r="G186" s="19">
        <f t="shared" si="50"/>
        <v>12</v>
      </c>
      <c r="H186" s="19">
        <f t="shared" si="51"/>
        <v>4248</v>
      </c>
      <c r="I186" s="20" t="s">
        <v>318</v>
      </c>
      <c r="J186" s="21">
        <v>12</v>
      </c>
      <c r="K186" s="22">
        <v>300</v>
      </c>
      <c r="L186" s="22">
        <f t="shared" si="52"/>
        <v>54</v>
      </c>
      <c r="M186" s="22">
        <f t="shared" si="53"/>
        <v>354</v>
      </c>
      <c r="N186" s="23">
        <f t="shared" si="54"/>
        <v>4248</v>
      </c>
      <c r="O186" s="23">
        <v>0</v>
      </c>
      <c r="P186" s="22">
        <f t="shared" si="55"/>
        <v>12</v>
      </c>
      <c r="Q186" s="22">
        <f t="shared" si="56"/>
        <v>4248</v>
      </c>
      <c r="R186" s="20" t="s">
        <v>319</v>
      </c>
      <c r="S186" s="24"/>
    </row>
    <row r="187" spans="2:20" s="25" customFormat="1" ht="20.25" x14ac:dyDescent="0.3">
      <c r="B187" s="16">
        <f t="shared" ref="B187:B188" si="57">+B186+1</f>
        <v>3</v>
      </c>
      <c r="C187" s="17" t="s">
        <v>315</v>
      </c>
      <c r="D187" s="17">
        <v>44214</v>
      </c>
      <c r="E187" s="18" t="s">
        <v>320</v>
      </c>
      <c r="F187" s="18" t="s">
        <v>321</v>
      </c>
      <c r="G187" s="19">
        <f t="shared" si="50"/>
        <v>12</v>
      </c>
      <c r="H187" s="19">
        <f t="shared" si="51"/>
        <v>7080</v>
      </c>
      <c r="I187" s="20" t="s">
        <v>318</v>
      </c>
      <c r="J187" s="21">
        <v>12</v>
      </c>
      <c r="K187" s="22">
        <v>500</v>
      </c>
      <c r="L187" s="22">
        <f t="shared" si="52"/>
        <v>90</v>
      </c>
      <c r="M187" s="22">
        <f t="shared" si="53"/>
        <v>590</v>
      </c>
      <c r="N187" s="23">
        <f t="shared" si="54"/>
        <v>7080</v>
      </c>
      <c r="O187" s="23">
        <v>0</v>
      </c>
      <c r="P187" s="22">
        <f t="shared" si="55"/>
        <v>12</v>
      </c>
      <c r="Q187" s="22">
        <f t="shared" si="56"/>
        <v>7080</v>
      </c>
      <c r="R187" s="20" t="s">
        <v>319</v>
      </c>
      <c r="S187" s="24"/>
    </row>
    <row r="188" spans="2:20" s="25" customFormat="1" ht="20.25" x14ac:dyDescent="0.3">
      <c r="B188" s="16">
        <f t="shared" si="57"/>
        <v>4</v>
      </c>
      <c r="C188" s="17" t="s">
        <v>315</v>
      </c>
      <c r="D188" s="17">
        <v>44214</v>
      </c>
      <c r="E188" s="18" t="s">
        <v>322</v>
      </c>
      <c r="F188" s="18" t="s">
        <v>323</v>
      </c>
      <c r="G188" s="19">
        <f t="shared" si="50"/>
        <v>12</v>
      </c>
      <c r="H188" s="19">
        <f t="shared" si="51"/>
        <v>5664</v>
      </c>
      <c r="I188" s="20" t="s">
        <v>318</v>
      </c>
      <c r="J188" s="21">
        <v>12</v>
      </c>
      <c r="K188" s="22">
        <v>400</v>
      </c>
      <c r="L188" s="22">
        <f t="shared" si="52"/>
        <v>72</v>
      </c>
      <c r="M188" s="22">
        <f t="shared" si="53"/>
        <v>472</v>
      </c>
      <c r="N188" s="23">
        <f t="shared" si="54"/>
        <v>5664</v>
      </c>
      <c r="O188" s="23">
        <v>0</v>
      </c>
      <c r="P188" s="22">
        <f t="shared" si="55"/>
        <v>12</v>
      </c>
      <c r="Q188" s="22">
        <f t="shared" si="56"/>
        <v>5664</v>
      </c>
      <c r="R188" s="20" t="s">
        <v>319</v>
      </c>
      <c r="S188" s="24"/>
    </row>
    <row r="189" spans="2:20" s="25" customFormat="1" ht="20.25" x14ac:dyDescent="0.3">
      <c r="B189" s="16">
        <f t="shared" ref="B189:B191" si="58">B188+1</f>
        <v>5</v>
      </c>
      <c r="C189" s="17" t="s">
        <v>197</v>
      </c>
      <c r="D189" s="17" t="s">
        <v>29</v>
      </c>
      <c r="E189" s="18" t="s">
        <v>26</v>
      </c>
      <c r="F189" s="18" t="s">
        <v>324</v>
      </c>
      <c r="G189" s="19">
        <f t="shared" si="50"/>
        <v>1</v>
      </c>
      <c r="H189" s="19">
        <f t="shared" si="51"/>
        <v>678.5</v>
      </c>
      <c r="I189" s="20" t="s">
        <v>22</v>
      </c>
      <c r="J189" s="21">
        <v>2</v>
      </c>
      <c r="K189" s="22">
        <v>575</v>
      </c>
      <c r="L189" s="22">
        <f t="shared" si="52"/>
        <v>103.5</v>
      </c>
      <c r="M189" s="22">
        <f t="shared" si="53"/>
        <v>678.5</v>
      </c>
      <c r="N189" s="23">
        <f t="shared" si="54"/>
        <v>1357</v>
      </c>
      <c r="O189" s="23">
        <v>1</v>
      </c>
      <c r="P189" s="22">
        <f t="shared" si="55"/>
        <v>1</v>
      </c>
      <c r="Q189" s="22">
        <f t="shared" si="56"/>
        <v>678.5</v>
      </c>
      <c r="R189" s="20" t="s">
        <v>325</v>
      </c>
      <c r="S189" s="24"/>
      <c r="T189" s="29"/>
    </row>
    <row r="190" spans="2:20" s="25" customFormat="1" ht="20.25" x14ac:dyDescent="0.3">
      <c r="B190" s="16">
        <f t="shared" si="58"/>
        <v>6</v>
      </c>
      <c r="C190" s="17" t="s">
        <v>197</v>
      </c>
      <c r="D190" s="17" t="s">
        <v>29</v>
      </c>
      <c r="E190" s="18" t="s">
        <v>23</v>
      </c>
      <c r="F190" s="18" t="s">
        <v>326</v>
      </c>
      <c r="G190" s="19">
        <f t="shared" si="50"/>
        <v>2</v>
      </c>
      <c r="H190" s="19">
        <f t="shared" si="51"/>
        <v>1640.2</v>
      </c>
      <c r="I190" s="20" t="s">
        <v>22</v>
      </c>
      <c r="J190" s="21">
        <v>2</v>
      </c>
      <c r="K190" s="22">
        <v>695</v>
      </c>
      <c r="L190" s="22">
        <f t="shared" si="52"/>
        <v>125.1</v>
      </c>
      <c r="M190" s="22">
        <f t="shared" si="53"/>
        <v>820.1</v>
      </c>
      <c r="N190" s="23">
        <f t="shared" si="54"/>
        <v>1640.2</v>
      </c>
      <c r="O190" s="23">
        <v>0</v>
      </c>
      <c r="P190" s="22">
        <f t="shared" si="55"/>
        <v>2</v>
      </c>
      <c r="Q190" s="22">
        <f t="shared" si="56"/>
        <v>1640.2</v>
      </c>
      <c r="R190" s="20" t="s">
        <v>325</v>
      </c>
      <c r="S190" s="24"/>
    </row>
    <row r="191" spans="2:20" s="25" customFormat="1" ht="20.25" x14ac:dyDescent="0.3">
      <c r="B191" s="16">
        <f t="shared" si="58"/>
        <v>7</v>
      </c>
      <c r="C191" s="17" t="s">
        <v>197</v>
      </c>
      <c r="D191" s="17" t="s">
        <v>29</v>
      </c>
      <c r="E191" s="18" t="s">
        <v>327</v>
      </c>
      <c r="F191" s="18" t="s">
        <v>328</v>
      </c>
      <c r="G191" s="19">
        <f t="shared" si="50"/>
        <v>2</v>
      </c>
      <c r="H191" s="19">
        <f t="shared" si="51"/>
        <v>1711</v>
      </c>
      <c r="I191" s="20" t="s">
        <v>22</v>
      </c>
      <c r="J191" s="21">
        <v>2</v>
      </c>
      <c r="K191" s="22">
        <v>725</v>
      </c>
      <c r="L191" s="22">
        <f t="shared" si="52"/>
        <v>130.5</v>
      </c>
      <c r="M191" s="22">
        <f t="shared" si="53"/>
        <v>855.5</v>
      </c>
      <c r="N191" s="23">
        <f t="shared" si="54"/>
        <v>1711</v>
      </c>
      <c r="O191" s="23">
        <v>0</v>
      </c>
      <c r="P191" s="22">
        <f t="shared" si="55"/>
        <v>2</v>
      </c>
      <c r="Q191" s="22">
        <f t="shared" si="56"/>
        <v>1711</v>
      </c>
      <c r="R191" s="20" t="s">
        <v>325</v>
      </c>
      <c r="S191" s="24"/>
    </row>
    <row r="192" spans="2:20" s="25" customFormat="1" ht="20.25" x14ac:dyDescent="0.3">
      <c r="B192" s="16">
        <f>+B191+1</f>
        <v>8</v>
      </c>
      <c r="C192" s="17">
        <v>43830</v>
      </c>
      <c r="D192" s="17">
        <v>43858</v>
      </c>
      <c r="E192" s="18" t="s">
        <v>329</v>
      </c>
      <c r="F192" s="18" t="s">
        <v>330</v>
      </c>
      <c r="G192" s="19">
        <f t="shared" si="50"/>
        <v>8</v>
      </c>
      <c r="H192" s="19">
        <f t="shared" si="51"/>
        <v>4804.96</v>
      </c>
      <c r="I192" s="20" t="s">
        <v>22</v>
      </c>
      <c r="J192" s="21">
        <v>8</v>
      </c>
      <c r="K192" s="22">
        <v>509</v>
      </c>
      <c r="L192" s="22">
        <f t="shared" si="52"/>
        <v>91.61999999999999</v>
      </c>
      <c r="M192" s="22">
        <f t="shared" si="53"/>
        <v>600.62</v>
      </c>
      <c r="N192" s="23">
        <f t="shared" si="54"/>
        <v>4804.96</v>
      </c>
      <c r="O192" s="23">
        <v>0</v>
      </c>
      <c r="P192" s="22">
        <f t="shared" si="55"/>
        <v>8</v>
      </c>
      <c r="Q192" s="22">
        <f t="shared" si="56"/>
        <v>4804.96</v>
      </c>
      <c r="R192" s="20" t="s">
        <v>331</v>
      </c>
      <c r="S192" s="24">
        <f>Q192/P192</f>
        <v>600.62</v>
      </c>
    </row>
    <row r="193" spans="2:20" s="25" customFormat="1" ht="20.25" x14ac:dyDescent="0.3">
      <c r="B193" s="16">
        <f t="shared" ref="B193:B205" si="59">+B192+1</f>
        <v>9</v>
      </c>
      <c r="C193" s="17" t="s">
        <v>315</v>
      </c>
      <c r="D193" s="17">
        <v>44214</v>
      </c>
      <c r="E193" s="18" t="s">
        <v>332</v>
      </c>
      <c r="F193" s="18" t="s">
        <v>333</v>
      </c>
      <c r="G193" s="19">
        <f t="shared" si="50"/>
        <v>18</v>
      </c>
      <c r="H193" s="19">
        <f t="shared" si="51"/>
        <v>1274.3999999999999</v>
      </c>
      <c r="I193" s="20" t="s">
        <v>318</v>
      </c>
      <c r="J193" s="21">
        <v>24</v>
      </c>
      <c r="K193" s="22">
        <v>60</v>
      </c>
      <c r="L193" s="22">
        <f t="shared" si="52"/>
        <v>10.799999999999999</v>
      </c>
      <c r="M193" s="22">
        <f t="shared" si="53"/>
        <v>70.8</v>
      </c>
      <c r="N193" s="23">
        <f t="shared" si="54"/>
        <v>1699.1999999999998</v>
      </c>
      <c r="O193" s="23">
        <v>6</v>
      </c>
      <c r="P193" s="22">
        <f t="shared" si="55"/>
        <v>18</v>
      </c>
      <c r="Q193" s="22">
        <f t="shared" si="56"/>
        <v>1274.3999999999999</v>
      </c>
      <c r="R193" s="20" t="s">
        <v>319</v>
      </c>
      <c r="S193" s="24"/>
    </row>
    <row r="194" spans="2:20" s="25" customFormat="1" ht="24" customHeight="1" x14ac:dyDescent="0.3">
      <c r="B194" s="16">
        <f t="shared" si="59"/>
        <v>10</v>
      </c>
      <c r="C194" s="17" t="s">
        <v>315</v>
      </c>
      <c r="D194" s="17">
        <v>44214</v>
      </c>
      <c r="E194" s="18" t="s">
        <v>334</v>
      </c>
      <c r="F194" s="18" t="s">
        <v>335</v>
      </c>
      <c r="G194" s="19">
        <f t="shared" si="50"/>
        <v>24</v>
      </c>
      <c r="H194" s="19">
        <f t="shared" si="51"/>
        <v>3115.2000000000003</v>
      </c>
      <c r="I194" s="20" t="s">
        <v>318</v>
      </c>
      <c r="J194" s="21">
        <v>24</v>
      </c>
      <c r="K194" s="22">
        <v>110</v>
      </c>
      <c r="L194" s="22">
        <f t="shared" si="52"/>
        <v>19.8</v>
      </c>
      <c r="M194" s="22">
        <f t="shared" si="53"/>
        <v>129.80000000000001</v>
      </c>
      <c r="N194" s="23">
        <f t="shared" si="54"/>
        <v>3115.2000000000003</v>
      </c>
      <c r="O194" s="23">
        <v>0</v>
      </c>
      <c r="P194" s="22">
        <f t="shared" si="55"/>
        <v>24</v>
      </c>
      <c r="Q194" s="22">
        <f t="shared" si="56"/>
        <v>3115.2000000000003</v>
      </c>
      <c r="R194" s="20" t="s">
        <v>319</v>
      </c>
      <c r="S194" s="24"/>
      <c r="T194" s="29"/>
    </row>
    <row r="195" spans="2:20" s="25" customFormat="1" ht="24" customHeight="1" x14ac:dyDescent="0.3">
      <c r="B195" s="16">
        <f>+B194+1</f>
        <v>11</v>
      </c>
      <c r="C195" s="17">
        <v>43252</v>
      </c>
      <c r="D195" s="17">
        <v>43254</v>
      </c>
      <c r="E195" s="18" t="s">
        <v>336</v>
      </c>
      <c r="F195" s="18" t="s">
        <v>337</v>
      </c>
      <c r="G195" s="19">
        <f t="shared" si="50"/>
        <v>1</v>
      </c>
      <c r="H195" s="19">
        <f t="shared" si="51"/>
        <v>1088.55</v>
      </c>
      <c r="I195" s="20" t="s">
        <v>22</v>
      </c>
      <c r="J195" s="21">
        <v>1</v>
      </c>
      <c r="K195" s="22">
        <v>922.5</v>
      </c>
      <c r="L195" s="22">
        <f t="shared" si="52"/>
        <v>166.04999999999998</v>
      </c>
      <c r="M195" s="22">
        <f t="shared" si="53"/>
        <v>1088.55</v>
      </c>
      <c r="N195" s="23">
        <f t="shared" si="54"/>
        <v>1088.55</v>
      </c>
      <c r="O195" s="23">
        <v>0</v>
      </c>
      <c r="P195" s="22">
        <f t="shared" si="55"/>
        <v>1</v>
      </c>
      <c r="Q195" s="22">
        <f t="shared" si="56"/>
        <v>1088.55</v>
      </c>
      <c r="R195" s="20" t="s">
        <v>150</v>
      </c>
      <c r="S195" s="24">
        <f>Q195/P195</f>
        <v>1088.55</v>
      </c>
      <c r="T195" s="29"/>
    </row>
    <row r="196" spans="2:20" s="25" customFormat="1" ht="24" customHeight="1" x14ac:dyDescent="0.3">
      <c r="B196" s="16">
        <f t="shared" si="59"/>
        <v>12</v>
      </c>
      <c r="C196" s="17">
        <v>44162</v>
      </c>
      <c r="D196" s="17">
        <v>44187</v>
      </c>
      <c r="E196" s="18" t="s">
        <v>338</v>
      </c>
      <c r="F196" s="18" t="s">
        <v>339</v>
      </c>
      <c r="G196" s="19">
        <f t="shared" si="50"/>
        <v>2</v>
      </c>
      <c r="H196" s="19">
        <f t="shared" si="51"/>
        <v>3345.3</v>
      </c>
      <c r="I196" s="20" t="s">
        <v>22</v>
      </c>
      <c r="J196" s="21">
        <v>2</v>
      </c>
      <c r="K196" s="22">
        <v>1417.5</v>
      </c>
      <c r="L196" s="22">
        <f t="shared" si="52"/>
        <v>255.14999999999998</v>
      </c>
      <c r="M196" s="22">
        <f t="shared" si="53"/>
        <v>1672.65</v>
      </c>
      <c r="N196" s="23">
        <f t="shared" si="54"/>
        <v>3345.3</v>
      </c>
      <c r="O196" s="23">
        <v>0</v>
      </c>
      <c r="P196" s="22">
        <f t="shared" si="55"/>
        <v>2</v>
      </c>
      <c r="Q196" s="22">
        <f t="shared" si="56"/>
        <v>3345.3</v>
      </c>
      <c r="R196" s="20" t="s">
        <v>150</v>
      </c>
      <c r="S196" s="24">
        <f>Q196/P196</f>
        <v>1672.65</v>
      </c>
      <c r="T196" s="29"/>
    </row>
    <row r="197" spans="2:20" s="25" customFormat="1" ht="25.5" customHeight="1" x14ac:dyDescent="0.3">
      <c r="B197" s="16">
        <f t="shared" si="59"/>
        <v>13</v>
      </c>
      <c r="C197" s="17">
        <v>43318</v>
      </c>
      <c r="D197" s="17">
        <v>43319</v>
      </c>
      <c r="E197" s="18" t="s">
        <v>340</v>
      </c>
      <c r="F197" s="18" t="s">
        <v>341</v>
      </c>
      <c r="G197" s="19">
        <f t="shared" si="50"/>
        <v>1</v>
      </c>
      <c r="H197" s="19">
        <f t="shared" si="51"/>
        <v>1239</v>
      </c>
      <c r="I197" s="20" t="s">
        <v>22</v>
      </c>
      <c r="J197" s="21">
        <v>1</v>
      </c>
      <c r="K197" s="22">
        <v>1050</v>
      </c>
      <c r="L197" s="22">
        <f t="shared" si="52"/>
        <v>189</v>
      </c>
      <c r="M197" s="22">
        <f t="shared" si="53"/>
        <v>1239</v>
      </c>
      <c r="N197" s="23">
        <f t="shared" si="54"/>
        <v>1239</v>
      </c>
      <c r="O197" s="23">
        <v>0</v>
      </c>
      <c r="P197" s="22">
        <f t="shared" si="55"/>
        <v>1</v>
      </c>
      <c r="Q197" s="22">
        <f t="shared" si="56"/>
        <v>1239</v>
      </c>
      <c r="R197" s="20" t="s">
        <v>150</v>
      </c>
      <c r="S197" s="24">
        <f>Q197/P197</f>
        <v>1239</v>
      </c>
      <c r="T197" s="29"/>
    </row>
    <row r="198" spans="2:20" s="25" customFormat="1" ht="24" customHeight="1" x14ac:dyDescent="0.3">
      <c r="B198" s="16">
        <f t="shared" si="59"/>
        <v>14</v>
      </c>
      <c r="C198" s="17">
        <v>43252</v>
      </c>
      <c r="D198" s="17">
        <v>43253</v>
      </c>
      <c r="E198" s="18" t="s">
        <v>342</v>
      </c>
      <c r="F198" s="18" t="s">
        <v>343</v>
      </c>
      <c r="G198" s="19">
        <f t="shared" si="50"/>
        <v>1</v>
      </c>
      <c r="H198" s="19">
        <f t="shared" si="51"/>
        <v>3540</v>
      </c>
      <c r="I198" s="20" t="s">
        <v>22</v>
      </c>
      <c r="J198" s="21">
        <v>1</v>
      </c>
      <c r="K198" s="22">
        <v>3000</v>
      </c>
      <c r="L198" s="22">
        <f t="shared" si="52"/>
        <v>540</v>
      </c>
      <c r="M198" s="22">
        <f t="shared" si="53"/>
        <v>3540</v>
      </c>
      <c r="N198" s="23">
        <f t="shared" si="54"/>
        <v>3540</v>
      </c>
      <c r="O198" s="23">
        <v>0</v>
      </c>
      <c r="P198" s="22">
        <f t="shared" si="55"/>
        <v>1</v>
      </c>
      <c r="Q198" s="22">
        <f t="shared" si="56"/>
        <v>3540</v>
      </c>
      <c r="R198" s="20"/>
      <c r="S198" s="24">
        <f>Q198/P198</f>
        <v>3540</v>
      </c>
      <c r="T198" s="29"/>
    </row>
    <row r="199" spans="2:20" s="25" customFormat="1" ht="24" customHeight="1" x14ac:dyDescent="0.3">
      <c r="B199" s="16">
        <f t="shared" si="59"/>
        <v>15</v>
      </c>
      <c r="C199" s="17" t="s">
        <v>315</v>
      </c>
      <c r="D199" s="17">
        <v>44214</v>
      </c>
      <c r="E199" s="18" t="s">
        <v>344</v>
      </c>
      <c r="F199" s="18" t="s">
        <v>345</v>
      </c>
      <c r="G199" s="19">
        <f t="shared" si="50"/>
        <v>15</v>
      </c>
      <c r="H199" s="19">
        <f t="shared" si="51"/>
        <v>3540</v>
      </c>
      <c r="I199" s="20" t="s">
        <v>318</v>
      </c>
      <c r="J199" s="21">
        <v>15</v>
      </c>
      <c r="K199" s="22">
        <v>200</v>
      </c>
      <c r="L199" s="22">
        <f t="shared" si="52"/>
        <v>36</v>
      </c>
      <c r="M199" s="22">
        <f t="shared" si="53"/>
        <v>236</v>
      </c>
      <c r="N199" s="23">
        <f t="shared" si="54"/>
        <v>3540</v>
      </c>
      <c r="O199" s="23">
        <v>0</v>
      </c>
      <c r="P199" s="22">
        <f t="shared" si="55"/>
        <v>15</v>
      </c>
      <c r="Q199" s="22">
        <f t="shared" si="56"/>
        <v>3540</v>
      </c>
      <c r="R199" s="20" t="s">
        <v>319</v>
      </c>
      <c r="S199" s="24"/>
      <c r="T199" s="29"/>
    </row>
    <row r="200" spans="2:20" s="25" customFormat="1" ht="24" customHeight="1" x14ac:dyDescent="0.3">
      <c r="B200" s="16">
        <f>+B199+1</f>
        <v>16</v>
      </c>
      <c r="C200" s="17" t="s">
        <v>346</v>
      </c>
      <c r="D200" s="17">
        <v>43858</v>
      </c>
      <c r="E200" s="18" t="s">
        <v>347</v>
      </c>
      <c r="F200" s="18" t="s">
        <v>348</v>
      </c>
      <c r="G200" s="19">
        <f t="shared" si="50"/>
        <v>17</v>
      </c>
      <c r="H200" s="19">
        <f t="shared" si="51"/>
        <v>7141.36</v>
      </c>
      <c r="I200" s="20" t="s">
        <v>318</v>
      </c>
      <c r="J200" s="21">
        <v>20</v>
      </c>
      <c r="K200" s="22">
        <v>356</v>
      </c>
      <c r="L200" s="22">
        <f t="shared" si="52"/>
        <v>64.08</v>
      </c>
      <c r="M200" s="22">
        <f t="shared" si="53"/>
        <v>420.08</v>
      </c>
      <c r="N200" s="23">
        <f t="shared" si="54"/>
        <v>8401.6</v>
      </c>
      <c r="O200" s="23">
        <v>3</v>
      </c>
      <c r="P200" s="22">
        <f t="shared" si="55"/>
        <v>17</v>
      </c>
      <c r="Q200" s="22">
        <f t="shared" si="56"/>
        <v>7141.36</v>
      </c>
      <c r="R200" s="20" t="s">
        <v>331</v>
      </c>
      <c r="S200" s="24">
        <f>Q200/P200</f>
        <v>420.08</v>
      </c>
      <c r="T200" s="29"/>
    </row>
    <row r="201" spans="2:20" s="25" customFormat="1" ht="20.25" x14ac:dyDescent="0.3">
      <c r="B201" s="16">
        <f t="shared" si="59"/>
        <v>17</v>
      </c>
      <c r="C201" s="17">
        <v>43252</v>
      </c>
      <c r="D201" s="17">
        <v>43253</v>
      </c>
      <c r="E201" s="18" t="s">
        <v>349</v>
      </c>
      <c r="F201" s="18" t="s">
        <v>350</v>
      </c>
      <c r="G201" s="19">
        <f t="shared" si="50"/>
        <v>12</v>
      </c>
      <c r="H201" s="19">
        <f t="shared" si="51"/>
        <v>2053.1999999999998</v>
      </c>
      <c r="I201" s="20" t="s">
        <v>22</v>
      </c>
      <c r="J201" s="21">
        <v>24</v>
      </c>
      <c r="K201" s="22">
        <v>145</v>
      </c>
      <c r="L201" s="22">
        <f t="shared" si="52"/>
        <v>26.099999999999998</v>
      </c>
      <c r="M201" s="22">
        <f t="shared" si="53"/>
        <v>171.1</v>
      </c>
      <c r="N201" s="23">
        <f t="shared" si="54"/>
        <v>4106.3999999999996</v>
      </c>
      <c r="O201" s="23">
        <v>12</v>
      </c>
      <c r="P201" s="22">
        <f t="shared" si="55"/>
        <v>12</v>
      </c>
      <c r="Q201" s="22">
        <f t="shared" si="56"/>
        <v>2053.1999999999998</v>
      </c>
      <c r="R201" s="20"/>
      <c r="S201" s="24">
        <f>Q201/P201</f>
        <v>171.1</v>
      </c>
    </row>
    <row r="202" spans="2:20" s="25" customFormat="1" ht="20.25" x14ac:dyDescent="0.3">
      <c r="B202" s="16">
        <f t="shared" si="59"/>
        <v>18</v>
      </c>
      <c r="C202" s="17" t="s">
        <v>315</v>
      </c>
      <c r="D202" s="17">
        <v>44214</v>
      </c>
      <c r="E202" s="18" t="s">
        <v>351</v>
      </c>
      <c r="F202" s="18" t="s">
        <v>352</v>
      </c>
      <c r="G202" s="19">
        <f t="shared" si="50"/>
        <v>24</v>
      </c>
      <c r="H202" s="19">
        <f t="shared" si="51"/>
        <v>1699.1999999999998</v>
      </c>
      <c r="I202" s="20" t="s">
        <v>318</v>
      </c>
      <c r="J202" s="21">
        <v>24</v>
      </c>
      <c r="K202" s="22">
        <v>60</v>
      </c>
      <c r="L202" s="22">
        <f t="shared" si="52"/>
        <v>10.799999999999999</v>
      </c>
      <c r="M202" s="22">
        <f t="shared" si="53"/>
        <v>70.8</v>
      </c>
      <c r="N202" s="23">
        <f t="shared" si="54"/>
        <v>1699.1999999999998</v>
      </c>
      <c r="O202" s="23">
        <v>0</v>
      </c>
      <c r="P202" s="22">
        <f t="shared" si="55"/>
        <v>24</v>
      </c>
      <c r="Q202" s="22">
        <f t="shared" si="56"/>
        <v>1699.1999999999998</v>
      </c>
      <c r="R202" s="20" t="s">
        <v>319</v>
      </c>
      <c r="S202" s="24"/>
    </row>
    <row r="203" spans="2:20" s="25" customFormat="1" ht="20.25" x14ac:dyDescent="0.3">
      <c r="B203" s="16">
        <f t="shared" si="59"/>
        <v>19</v>
      </c>
      <c r="C203" s="17">
        <v>43252</v>
      </c>
      <c r="D203" s="17">
        <v>43253</v>
      </c>
      <c r="E203" s="18" t="s">
        <v>353</v>
      </c>
      <c r="F203" s="18" t="s">
        <v>354</v>
      </c>
      <c r="G203" s="19">
        <f t="shared" si="50"/>
        <v>6</v>
      </c>
      <c r="H203" s="19">
        <f t="shared" si="51"/>
        <v>276.12</v>
      </c>
      <c r="I203" s="20" t="s">
        <v>22</v>
      </c>
      <c r="J203" s="21">
        <v>150</v>
      </c>
      <c r="K203" s="22">
        <v>39</v>
      </c>
      <c r="L203" s="22">
        <f t="shared" si="52"/>
        <v>7.02</v>
      </c>
      <c r="M203" s="22">
        <f t="shared" si="53"/>
        <v>46.019999999999996</v>
      </c>
      <c r="N203" s="23">
        <f t="shared" si="54"/>
        <v>6902.9999999999991</v>
      </c>
      <c r="O203" s="23">
        <f>125+19</f>
        <v>144</v>
      </c>
      <c r="P203" s="22">
        <f t="shared" si="55"/>
        <v>6</v>
      </c>
      <c r="Q203" s="22">
        <f t="shared" si="56"/>
        <v>276.12</v>
      </c>
      <c r="R203" s="20" t="s">
        <v>25</v>
      </c>
      <c r="S203" s="24">
        <f>Q203/P203</f>
        <v>46.02</v>
      </c>
    </row>
    <row r="204" spans="2:20" s="25" customFormat="1" ht="20.25" x14ac:dyDescent="0.3">
      <c r="B204" s="16">
        <f t="shared" si="59"/>
        <v>20</v>
      </c>
      <c r="C204" s="17" t="s">
        <v>197</v>
      </c>
      <c r="D204" s="17" t="s">
        <v>29</v>
      </c>
      <c r="E204" s="18" t="s">
        <v>355</v>
      </c>
      <c r="F204" s="18" t="s">
        <v>356</v>
      </c>
      <c r="G204" s="19">
        <f t="shared" si="50"/>
        <v>12</v>
      </c>
      <c r="H204" s="19">
        <f t="shared" si="51"/>
        <v>1047.8399999999999</v>
      </c>
      <c r="I204" s="20" t="s">
        <v>155</v>
      </c>
      <c r="J204" s="21">
        <v>12</v>
      </c>
      <c r="K204" s="22">
        <v>74</v>
      </c>
      <c r="L204" s="22">
        <f t="shared" si="52"/>
        <v>13.32</v>
      </c>
      <c r="M204" s="22">
        <f t="shared" si="53"/>
        <v>87.32</v>
      </c>
      <c r="N204" s="23">
        <f t="shared" si="54"/>
        <v>1047.8399999999999</v>
      </c>
      <c r="O204" s="23"/>
      <c r="P204" s="22">
        <f t="shared" si="55"/>
        <v>12</v>
      </c>
      <c r="Q204" s="22">
        <f t="shared" si="56"/>
        <v>1047.8399999999999</v>
      </c>
      <c r="R204" s="20" t="s">
        <v>325</v>
      </c>
      <c r="S204" s="24"/>
    </row>
    <row r="205" spans="2:20" s="25" customFormat="1" ht="21" thickBot="1" x14ac:dyDescent="0.35">
      <c r="B205" s="16">
        <f t="shared" si="59"/>
        <v>21</v>
      </c>
      <c r="C205" s="17" t="s">
        <v>346</v>
      </c>
      <c r="D205" s="17">
        <v>43858</v>
      </c>
      <c r="E205" s="18" t="s">
        <v>357</v>
      </c>
      <c r="F205" s="18" t="s">
        <v>358</v>
      </c>
      <c r="G205" s="19">
        <f t="shared" si="50"/>
        <v>4</v>
      </c>
      <c r="H205" s="19">
        <f t="shared" si="51"/>
        <v>4800.24</v>
      </c>
      <c r="I205" s="20" t="s">
        <v>318</v>
      </c>
      <c r="J205" s="21">
        <v>8</v>
      </c>
      <c r="K205" s="22">
        <v>1017</v>
      </c>
      <c r="L205" s="22">
        <f t="shared" si="52"/>
        <v>183.06</v>
      </c>
      <c r="M205" s="22">
        <f t="shared" si="53"/>
        <v>1200.06</v>
      </c>
      <c r="N205" s="23">
        <f t="shared" si="54"/>
        <v>9600.48</v>
      </c>
      <c r="O205" s="23">
        <v>4</v>
      </c>
      <c r="P205" s="22">
        <f t="shared" si="55"/>
        <v>4</v>
      </c>
      <c r="Q205" s="22">
        <f t="shared" si="56"/>
        <v>4800.24</v>
      </c>
      <c r="R205" s="20" t="s">
        <v>331</v>
      </c>
      <c r="S205" s="24">
        <f>Q205/P205</f>
        <v>1200.06</v>
      </c>
    </row>
    <row r="206" spans="2:20" s="43" customFormat="1" ht="21" thickBot="1" x14ac:dyDescent="0.35">
      <c r="B206" s="32"/>
      <c r="C206" s="33"/>
      <c r="D206" s="33"/>
      <c r="E206" s="33"/>
      <c r="F206" s="33"/>
      <c r="G206" s="34"/>
      <c r="H206" s="35">
        <f>SUM(H185:H205)</f>
        <v>60553.469999999994</v>
      </c>
      <c r="I206" s="8"/>
      <c r="J206" s="36"/>
      <c r="K206" s="37"/>
      <c r="L206" s="8"/>
      <c r="M206" s="8"/>
      <c r="N206" s="23"/>
      <c r="O206" s="38"/>
      <c r="P206" s="39"/>
      <c r="Q206" s="40">
        <f>SUM(Q185:Q205)</f>
        <v>60553.469999999994</v>
      </c>
      <c r="R206" s="8"/>
      <c r="S206" s="41"/>
      <c r="T206" s="42"/>
    </row>
    <row r="207" spans="2:20" ht="36.75" customHeight="1" x14ac:dyDescent="0.5">
      <c r="B207" s="10" t="s">
        <v>359</v>
      </c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44"/>
    </row>
    <row r="208" spans="2:20" s="15" customFormat="1" ht="20.25" x14ac:dyDescent="0.3">
      <c r="B208" s="11" t="s">
        <v>5</v>
      </c>
      <c r="C208" s="12" t="s">
        <v>6</v>
      </c>
      <c r="D208" s="12" t="s">
        <v>7</v>
      </c>
      <c r="E208" s="12" t="s">
        <v>8</v>
      </c>
      <c r="F208" s="12" t="s">
        <v>9</v>
      </c>
      <c r="G208" s="12" t="s">
        <v>10</v>
      </c>
      <c r="H208" s="12" t="s">
        <v>11</v>
      </c>
      <c r="I208" s="13" t="s">
        <v>12</v>
      </c>
      <c r="J208" s="13" t="s">
        <v>13</v>
      </c>
      <c r="K208" s="13" t="s">
        <v>14</v>
      </c>
      <c r="L208" s="13" t="s">
        <v>15</v>
      </c>
      <c r="M208" s="13" t="s">
        <v>16</v>
      </c>
      <c r="N208" s="14" t="s">
        <v>17</v>
      </c>
      <c r="O208" s="14" t="s">
        <v>18</v>
      </c>
      <c r="P208" s="13" t="s">
        <v>10</v>
      </c>
      <c r="Q208" s="13" t="s">
        <v>11</v>
      </c>
      <c r="R208" s="13" t="s">
        <v>19</v>
      </c>
    </row>
    <row r="209" spans="2:20" s="25" customFormat="1" ht="20.25" x14ac:dyDescent="0.3">
      <c r="B209" s="16">
        <v>1</v>
      </c>
      <c r="C209" s="17" t="s">
        <v>197</v>
      </c>
      <c r="D209" s="17" t="s">
        <v>29</v>
      </c>
      <c r="E209" s="18" t="s">
        <v>360</v>
      </c>
      <c r="F209" s="18" t="s">
        <v>361</v>
      </c>
      <c r="G209" s="19">
        <f t="shared" ref="G209:G221" si="60">$J209-$O209</f>
        <v>10</v>
      </c>
      <c r="H209" s="19">
        <f t="shared" ref="H209:H226" si="61">$P209*$M209</f>
        <v>5015</v>
      </c>
      <c r="I209" s="20" t="s">
        <v>22</v>
      </c>
      <c r="J209" s="21">
        <v>10</v>
      </c>
      <c r="K209" s="22">
        <v>425</v>
      </c>
      <c r="L209" s="22">
        <f t="shared" ref="L209:L215" si="62">+K209*18%</f>
        <v>76.5</v>
      </c>
      <c r="M209" s="22">
        <f t="shared" ref="M209:M221" si="63">+K209+L209</f>
        <v>501.5</v>
      </c>
      <c r="N209" s="23">
        <f t="shared" ref="N209:N221" si="64">$J209*$M209</f>
        <v>5015</v>
      </c>
      <c r="O209" s="23">
        <v>0</v>
      </c>
      <c r="P209" s="22">
        <f t="shared" ref="P209:P221" si="65">$J209-$O209</f>
        <v>10</v>
      </c>
      <c r="Q209" s="22">
        <f t="shared" ref="Q209:Q221" si="66">$P209*$M209</f>
        <v>5015</v>
      </c>
      <c r="R209" s="20" t="s">
        <v>325</v>
      </c>
      <c r="S209" s="24"/>
      <c r="T209" s="29"/>
    </row>
    <row r="210" spans="2:20" s="25" customFormat="1" ht="20.25" x14ac:dyDescent="0.3">
      <c r="B210" s="16">
        <f t="shared" ref="B210:B226" si="67">B209+1</f>
        <v>2</v>
      </c>
      <c r="C210" s="17" t="s">
        <v>197</v>
      </c>
      <c r="D210" s="17" t="s">
        <v>29</v>
      </c>
      <c r="E210" s="18" t="s">
        <v>362</v>
      </c>
      <c r="F210" s="18" t="s">
        <v>363</v>
      </c>
      <c r="G210" s="19">
        <f t="shared" si="60"/>
        <v>15</v>
      </c>
      <c r="H210" s="19">
        <f t="shared" si="61"/>
        <v>1947.0000000000002</v>
      </c>
      <c r="I210" s="20" t="s">
        <v>22</v>
      </c>
      <c r="J210" s="21">
        <v>15</v>
      </c>
      <c r="K210" s="22">
        <v>110</v>
      </c>
      <c r="L210" s="22">
        <f t="shared" si="62"/>
        <v>19.8</v>
      </c>
      <c r="M210" s="22">
        <f t="shared" si="63"/>
        <v>129.80000000000001</v>
      </c>
      <c r="N210" s="23">
        <f t="shared" si="64"/>
        <v>1947.0000000000002</v>
      </c>
      <c r="O210" s="23">
        <v>0</v>
      </c>
      <c r="P210" s="22">
        <f t="shared" si="65"/>
        <v>15</v>
      </c>
      <c r="Q210" s="22">
        <f t="shared" si="66"/>
        <v>1947.0000000000002</v>
      </c>
      <c r="R210" s="20" t="s">
        <v>325</v>
      </c>
      <c r="S210" s="24"/>
      <c r="T210" s="29"/>
    </row>
    <row r="211" spans="2:20" s="25" customFormat="1" ht="20.25" x14ac:dyDescent="0.3">
      <c r="B211" s="16">
        <f t="shared" si="67"/>
        <v>3</v>
      </c>
      <c r="C211" s="17" t="s">
        <v>197</v>
      </c>
      <c r="D211" s="17" t="s">
        <v>29</v>
      </c>
      <c r="E211" s="18" t="s">
        <v>364</v>
      </c>
      <c r="F211" s="18" t="s">
        <v>365</v>
      </c>
      <c r="G211" s="19">
        <f t="shared" si="60"/>
        <v>10</v>
      </c>
      <c r="H211" s="19">
        <f t="shared" si="61"/>
        <v>5605</v>
      </c>
      <c r="I211" s="45" t="s">
        <v>22</v>
      </c>
      <c r="J211" s="21">
        <v>10</v>
      </c>
      <c r="K211" s="22">
        <v>475</v>
      </c>
      <c r="L211" s="22">
        <f t="shared" si="62"/>
        <v>85.5</v>
      </c>
      <c r="M211" s="22">
        <f t="shared" si="63"/>
        <v>560.5</v>
      </c>
      <c r="N211" s="23">
        <f t="shared" si="64"/>
        <v>5605</v>
      </c>
      <c r="O211" s="23">
        <v>0</v>
      </c>
      <c r="P211" s="22">
        <f t="shared" si="65"/>
        <v>10</v>
      </c>
      <c r="Q211" s="22">
        <f t="shared" si="66"/>
        <v>5605</v>
      </c>
      <c r="R211" s="20" t="s">
        <v>325</v>
      </c>
      <c r="S211" s="24">
        <f>Q211/P211</f>
        <v>560.5</v>
      </c>
    </row>
    <row r="212" spans="2:20" s="25" customFormat="1" ht="20.25" x14ac:dyDescent="0.3">
      <c r="B212" s="16">
        <f t="shared" si="67"/>
        <v>4</v>
      </c>
      <c r="C212" s="17" t="s">
        <v>197</v>
      </c>
      <c r="D212" s="17" t="s">
        <v>29</v>
      </c>
      <c r="E212" s="18" t="s">
        <v>366</v>
      </c>
      <c r="F212" s="18" t="s">
        <v>367</v>
      </c>
      <c r="G212" s="19">
        <f t="shared" si="60"/>
        <v>16</v>
      </c>
      <c r="H212" s="19">
        <f t="shared" si="61"/>
        <v>9345.6</v>
      </c>
      <c r="I212" s="20" t="s">
        <v>368</v>
      </c>
      <c r="J212" s="21">
        <v>17</v>
      </c>
      <c r="K212" s="22">
        <v>495</v>
      </c>
      <c r="L212" s="22">
        <f t="shared" si="62"/>
        <v>89.1</v>
      </c>
      <c r="M212" s="22">
        <f t="shared" si="63"/>
        <v>584.1</v>
      </c>
      <c r="N212" s="23">
        <f t="shared" si="64"/>
        <v>9929.7000000000007</v>
      </c>
      <c r="O212" s="23">
        <v>1</v>
      </c>
      <c r="P212" s="22">
        <f t="shared" si="65"/>
        <v>16</v>
      </c>
      <c r="Q212" s="22">
        <f t="shared" si="66"/>
        <v>9345.6</v>
      </c>
      <c r="R212" s="20" t="s">
        <v>325</v>
      </c>
      <c r="S212" s="24"/>
    </row>
    <row r="213" spans="2:20" s="25" customFormat="1" ht="20.25" x14ac:dyDescent="0.3">
      <c r="B213" s="16">
        <f t="shared" si="67"/>
        <v>5</v>
      </c>
      <c r="C213" s="17" t="s">
        <v>197</v>
      </c>
      <c r="D213" s="17" t="s">
        <v>29</v>
      </c>
      <c r="E213" s="18" t="s">
        <v>369</v>
      </c>
      <c r="F213" s="18" t="s">
        <v>370</v>
      </c>
      <c r="G213" s="19">
        <f t="shared" si="60"/>
        <v>7</v>
      </c>
      <c r="H213" s="19">
        <f t="shared" si="61"/>
        <v>1239</v>
      </c>
      <c r="I213" s="20" t="s">
        <v>368</v>
      </c>
      <c r="J213" s="21">
        <v>8</v>
      </c>
      <c r="K213" s="22">
        <v>150</v>
      </c>
      <c r="L213" s="22">
        <f t="shared" si="62"/>
        <v>27</v>
      </c>
      <c r="M213" s="22">
        <f t="shared" si="63"/>
        <v>177</v>
      </c>
      <c r="N213" s="23">
        <f t="shared" si="64"/>
        <v>1416</v>
      </c>
      <c r="O213" s="23">
        <v>1</v>
      </c>
      <c r="P213" s="22">
        <f t="shared" si="65"/>
        <v>7</v>
      </c>
      <c r="Q213" s="22">
        <f t="shared" si="66"/>
        <v>1239</v>
      </c>
      <c r="R213" s="20" t="s">
        <v>325</v>
      </c>
      <c r="S213" s="24"/>
    </row>
    <row r="214" spans="2:20" s="25" customFormat="1" ht="20.25" x14ac:dyDescent="0.3">
      <c r="B214" s="16">
        <f t="shared" si="67"/>
        <v>6</v>
      </c>
      <c r="C214" s="17" t="s">
        <v>197</v>
      </c>
      <c r="D214" s="17" t="s">
        <v>29</v>
      </c>
      <c r="E214" s="18" t="s">
        <v>371</v>
      </c>
      <c r="F214" s="18" t="s">
        <v>372</v>
      </c>
      <c r="G214" s="19">
        <f t="shared" si="60"/>
        <v>1.78</v>
      </c>
      <c r="H214" s="19">
        <f t="shared" si="61"/>
        <v>1249.7380000000001</v>
      </c>
      <c r="I214" s="20" t="s">
        <v>368</v>
      </c>
      <c r="J214" s="21">
        <v>2</v>
      </c>
      <c r="K214" s="22">
        <v>595</v>
      </c>
      <c r="L214" s="22">
        <f t="shared" si="62"/>
        <v>107.1</v>
      </c>
      <c r="M214" s="22">
        <f t="shared" si="63"/>
        <v>702.1</v>
      </c>
      <c r="N214" s="23">
        <f t="shared" si="64"/>
        <v>1404.2</v>
      </c>
      <c r="O214" s="23">
        <v>0.22</v>
      </c>
      <c r="P214" s="22">
        <f t="shared" si="65"/>
        <v>1.78</v>
      </c>
      <c r="Q214" s="22">
        <f t="shared" si="66"/>
        <v>1249.7380000000001</v>
      </c>
      <c r="R214" s="20" t="s">
        <v>325</v>
      </c>
      <c r="S214" s="24"/>
    </row>
    <row r="215" spans="2:20" s="25" customFormat="1" ht="20.25" x14ac:dyDescent="0.3">
      <c r="B215" s="16">
        <f t="shared" si="67"/>
        <v>7</v>
      </c>
      <c r="C215" s="17">
        <v>44014</v>
      </c>
      <c r="D215" s="17">
        <v>44033</v>
      </c>
      <c r="E215" s="18" t="s">
        <v>373</v>
      </c>
      <c r="F215" s="18" t="s">
        <v>374</v>
      </c>
      <c r="G215" s="19">
        <f t="shared" si="60"/>
        <v>5</v>
      </c>
      <c r="H215" s="19">
        <f t="shared" si="61"/>
        <v>3245</v>
      </c>
      <c r="I215" s="20" t="s">
        <v>22</v>
      </c>
      <c r="J215" s="21">
        <v>5</v>
      </c>
      <c r="K215" s="22">
        <v>550</v>
      </c>
      <c r="L215" s="22">
        <f t="shared" si="62"/>
        <v>99</v>
      </c>
      <c r="M215" s="22">
        <f t="shared" si="63"/>
        <v>649</v>
      </c>
      <c r="N215" s="23">
        <f t="shared" si="64"/>
        <v>3245</v>
      </c>
      <c r="O215" s="23">
        <v>0</v>
      </c>
      <c r="P215" s="22">
        <f t="shared" si="65"/>
        <v>5</v>
      </c>
      <c r="Q215" s="22">
        <f t="shared" si="66"/>
        <v>3245</v>
      </c>
      <c r="R215" s="20" t="s">
        <v>375</v>
      </c>
      <c r="S215" s="24">
        <f>Q215/P215</f>
        <v>649</v>
      </c>
    </row>
    <row r="216" spans="2:20" s="25" customFormat="1" ht="20.25" x14ac:dyDescent="0.3">
      <c r="B216" s="16">
        <f t="shared" si="67"/>
        <v>8</v>
      </c>
      <c r="C216" s="17">
        <v>44018</v>
      </c>
      <c r="D216" s="17">
        <v>44033</v>
      </c>
      <c r="E216" s="18" t="s">
        <v>376</v>
      </c>
      <c r="F216" s="18" t="s">
        <v>377</v>
      </c>
      <c r="G216" s="19">
        <f t="shared" si="60"/>
        <v>92</v>
      </c>
      <c r="H216" s="19">
        <f t="shared" si="61"/>
        <v>50600</v>
      </c>
      <c r="I216" s="20" t="s">
        <v>84</v>
      </c>
      <c r="J216" s="21">
        <v>100</v>
      </c>
      <c r="K216" s="22">
        <v>550</v>
      </c>
      <c r="L216" s="22">
        <v>0</v>
      </c>
      <c r="M216" s="22">
        <f t="shared" si="63"/>
        <v>550</v>
      </c>
      <c r="N216" s="23">
        <f t="shared" si="64"/>
        <v>55000</v>
      </c>
      <c r="O216" s="23">
        <f>8</f>
        <v>8</v>
      </c>
      <c r="P216" s="22">
        <f t="shared" si="65"/>
        <v>92</v>
      </c>
      <c r="Q216" s="22">
        <f t="shared" si="66"/>
        <v>50600</v>
      </c>
      <c r="R216" s="20" t="s">
        <v>378</v>
      </c>
      <c r="S216" s="24">
        <f>Q216/P216</f>
        <v>550</v>
      </c>
    </row>
    <row r="217" spans="2:20" s="25" customFormat="1" ht="20.25" x14ac:dyDescent="0.3">
      <c r="B217" s="16">
        <f t="shared" si="67"/>
        <v>9</v>
      </c>
      <c r="C217" s="17">
        <v>44019</v>
      </c>
      <c r="D217" s="17">
        <v>44033</v>
      </c>
      <c r="E217" s="18" t="s">
        <v>379</v>
      </c>
      <c r="F217" s="18" t="s">
        <v>380</v>
      </c>
      <c r="G217" s="19">
        <f t="shared" si="60"/>
        <v>4</v>
      </c>
      <c r="H217" s="19">
        <f t="shared" si="61"/>
        <v>778.8</v>
      </c>
      <c r="I217" s="20" t="s">
        <v>381</v>
      </c>
      <c r="J217" s="21">
        <v>5</v>
      </c>
      <c r="K217" s="22">
        <v>165</v>
      </c>
      <c r="L217" s="22">
        <f t="shared" ref="L217:L221" si="68">+K217*18%</f>
        <v>29.7</v>
      </c>
      <c r="M217" s="22">
        <f t="shared" si="63"/>
        <v>194.7</v>
      </c>
      <c r="N217" s="23">
        <f t="shared" si="64"/>
        <v>973.5</v>
      </c>
      <c r="O217" s="23">
        <v>1</v>
      </c>
      <c r="P217" s="22">
        <f t="shared" si="65"/>
        <v>4</v>
      </c>
      <c r="Q217" s="22">
        <f t="shared" si="66"/>
        <v>778.8</v>
      </c>
      <c r="R217" s="20" t="s">
        <v>382</v>
      </c>
      <c r="S217" s="24">
        <f>Q217/P217</f>
        <v>194.7</v>
      </c>
      <c r="T217" s="29"/>
    </row>
    <row r="218" spans="2:20" s="25" customFormat="1" ht="20.25" x14ac:dyDescent="0.3">
      <c r="B218" s="16">
        <f t="shared" si="67"/>
        <v>10</v>
      </c>
      <c r="C218" s="17" t="s">
        <v>197</v>
      </c>
      <c r="D218" s="17" t="s">
        <v>29</v>
      </c>
      <c r="E218" s="18" t="s">
        <v>383</v>
      </c>
      <c r="F218" s="18" t="s">
        <v>384</v>
      </c>
      <c r="G218" s="19">
        <f t="shared" si="60"/>
        <v>7</v>
      </c>
      <c r="H218" s="19">
        <f t="shared" si="61"/>
        <v>1610.7</v>
      </c>
      <c r="I218" s="20" t="s">
        <v>22</v>
      </c>
      <c r="J218" s="21">
        <v>7</v>
      </c>
      <c r="K218" s="22">
        <v>195</v>
      </c>
      <c r="L218" s="22">
        <f t="shared" si="68"/>
        <v>35.1</v>
      </c>
      <c r="M218" s="22">
        <f t="shared" si="63"/>
        <v>230.1</v>
      </c>
      <c r="N218" s="23">
        <f t="shared" si="64"/>
        <v>1610.7</v>
      </c>
      <c r="O218" s="23"/>
      <c r="P218" s="22">
        <f t="shared" si="65"/>
        <v>7</v>
      </c>
      <c r="Q218" s="22">
        <f t="shared" si="66"/>
        <v>1610.7</v>
      </c>
      <c r="R218" s="20" t="s">
        <v>325</v>
      </c>
      <c r="S218" s="24"/>
      <c r="T218" s="29"/>
    </row>
    <row r="219" spans="2:20" s="25" customFormat="1" ht="20.25" x14ac:dyDescent="0.3">
      <c r="B219" s="16">
        <f t="shared" si="67"/>
        <v>11</v>
      </c>
      <c r="C219" s="17">
        <v>44020</v>
      </c>
      <c r="D219" s="17">
        <v>44033</v>
      </c>
      <c r="E219" s="18" t="s">
        <v>385</v>
      </c>
      <c r="F219" s="18" t="s">
        <v>386</v>
      </c>
      <c r="G219" s="19">
        <f t="shared" si="60"/>
        <v>2</v>
      </c>
      <c r="H219" s="19">
        <f t="shared" si="61"/>
        <v>7906</v>
      </c>
      <c r="I219" s="20" t="s">
        <v>22</v>
      </c>
      <c r="J219" s="21">
        <v>3</v>
      </c>
      <c r="K219" s="22">
        <v>3350</v>
      </c>
      <c r="L219" s="22">
        <f t="shared" si="68"/>
        <v>603</v>
      </c>
      <c r="M219" s="22">
        <f t="shared" si="63"/>
        <v>3953</v>
      </c>
      <c r="N219" s="23">
        <f t="shared" si="64"/>
        <v>11859</v>
      </c>
      <c r="O219" s="23">
        <v>1</v>
      </c>
      <c r="P219" s="22">
        <f t="shared" si="65"/>
        <v>2</v>
      </c>
      <c r="Q219" s="22">
        <f t="shared" si="66"/>
        <v>7906</v>
      </c>
      <c r="R219" s="20" t="s">
        <v>387</v>
      </c>
      <c r="S219" s="24">
        <f>Q219/P219</f>
        <v>3953</v>
      </c>
      <c r="T219" s="29"/>
    </row>
    <row r="220" spans="2:20" s="25" customFormat="1" ht="20.25" x14ac:dyDescent="0.3">
      <c r="B220" s="16">
        <f t="shared" si="67"/>
        <v>12</v>
      </c>
      <c r="C220" s="17" t="s">
        <v>197</v>
      </c>
      <c r="D220" s="17" t="s">
        <v>29</v>
      </c>
      <c r="E220" s="18" t="s">
        <v>388</v>
      </c>
      <c r="F220" s="18" t="s">
        <v>389</v>
      </c>
      <c r="G220" s="19">
        <f t="shared" si="60"/>
        <v>2</v>
      </c>
      <c r="H220" s="19">
        <f t="shared" si="61"/>
        <v>422.44</v>
      </c>
      <c r="I220" s="20" t="s">
        <v>390</v>
      </c>
      <c r="J220" s="21">
        <v>3</v>
      </c>
      <c r="K220" s="22">
        <v>179</v>
      </c>
      <c r="L220" s="22">
        <f t="shared" si="68"/>
        <v>32.22</v>
      </c>
      <c r="M220" s="22">
        <f t="shared" si="63"/>
        <v>211.22</v>
      </c>
      <c r="N220" s="23">
        <f t="shared" si="64"/>
        <v>633.66</v>
      </c>
      <c r="O220" s="23">
        <v>1</v>
      </c>
      <c r="P220" s="22">
        <f t="shared" si="65"/>
        <v>2</v>
      </c>
      <c r="Q220" s="22">
        <f t="shared" si="66"/>
        <v>422.44</v>
      </c>
      <c r="R220" s="20" t="s">
        <v>325</v>
      </c>
      <c r="S220" s="24"/>
    </row>
    <row r="221" spans="2:20" s="25" customFormat="1" ht="20.25" x14ac:dyDescent="0.3">
      <c r="B221" s="16">
        <f t="shared" si="67"/>
        <v>13</v>
      </c>
      <c r="C221" s="17" t="s">
        <v>197</v>
      </c>
      <c r="D221" s="17" t="s">
        <v>29</v>
      </c>
      <c r="E221" s="18" t="s">
        <v>391</v>
      </c>
      <c r="F221" s="18" t="s">
        <v>392</v>
      </c>
      <c r="G221" s="19">
        <f t="shared" si="60"/>
        <v>4</v>
      </c>
      <c r="H221" s="19">
        <f t="shared" si="61"/>
        <v>2100.4</v>
      </c>
      <c r="I221" s="20" t="s">
        <v>390</v>
      </c>
      <c r="J221" s="21">
        <v>4</v>
      </c>
      <c r="K221" s="22">
        <v>445</v>
      </c>
      <c r="L221" s="22">
        <f t="shared" si="68"/>
        <v>80.099999999999994</v>
      </c>
      <c r="M221" s="22">
        <f t="shared" si="63"/>
        <v>525.1</v>
      </c>
      <c r="N221" s="23">
        <f t="shared" si="64"/>
        <v>2100.4</v>
      </c>
      <c r="O221" s="23">
        <v>0</v>
      </c>
      <c r="P221" s="22">
        <f t="shared" si="65"/>
        <v>4</v>
      </c>
      <c r="Q221" s="22">
        <f t="shared" si="66"/>
        <v>2100.4</v>
      </c>
      <c r="R221" s="20" t="s">
        <v>325</v>
      </c>
      <c r="S221" s="24"/>
    </row>
    <row r="222" spans="2:20" s="25" customFormat="1" ht="20.25" x14ac:dyDescent="0.3">
      <c r="B222" s="16">
        <f>+B221+1</f>
        <v>14</v>
      </c>
      <c r="C222" s="17" t="s">
        <v>197</v>
      </c>
      <c r="D222" s="17" t="s">
        <v>29</v>
      </c>
      <c r="E222" s="18" t="s">
        <v>393</v>
      </c>
      <c r="F222" s="18" t="s">
        <v>394</v>
      </c>
      <c r="G222" s="19">
        <f>$J222-$O222</f>
        <v>2</v>
      </c>
      <c r="H222" s="19">
        <f t="shared" si="61"/>
        <v>1028.96</v>
      </c>
      <c r="I222" s="20" t="s">
        <v>368</v>
      </c>
      <c r="J222" s="21">
        <v>5</v>
      </c>
      <c r="K222" s="22">
        <v>436</v>
      </c>
      <c r="L222" s="22">
        <f>+K222*18%</f>
        <v>78.48</v>
      </c>
      <c r="M222" s="22">
        <f>+K222+L222</f>
        <v>514.48</v>
      </c>
      <c r="N222" s="23">
        <f>$J222*$M222</f>
        <v>2572.4</v>
      </c>
      <c r="O222" s="23">
        <v>3</v>
      </c>
      <c r="P222" s="22">
        <f>$J222-$O222</f>
        <v>2</v>
      </c>
      <c r="Q222" s="22">
        <f>$P222*$M222</f>
        <v>1028.96</v>
      </c>
      <c r="R222" s="20" t="s">
        <v>325</v>
      </c>
      <c r="S222" s="24"/>
    </row>
    <row r="223" spans="2:20" s="25" customFormat="1" ht="20.25" x14ac:dyDescent="0.3">
      <c r="B223" s="16">
        <f>B222+1</f>
        <v>15</v>
      </c>
      <c r="C223" s="17" t="s">
        <v>28</v>
      </c>
      <c r="D223" s="17" t="s">
        <v>29</v>
      </c>
      <c r="E223" s="18" t="s">
        <v>395</v>
      </c>
      <c r="F223" s="18" t="s">
        <v>396</v>
      </c>
      <c r="G223" s="19">
        <f>$J223-$O223</f>
        <v>1</v>
      </c>
      <c r="H223" s="19">
        <f t="shared" si="61"/>
        <v>2442.6</v>
      </c>
      <c r="I223" s="20" t="s">
        <v>368</v>
      </c>
      <c r="J223" s="21">
        <v>12</v>
      </c>
      <c r="K223" s="22">
        <v>2070</v>
      </c>
      <c r="L223" s="22">
        <f>+K223*18%</f>
        <v>372.59999999999997</v>
      </c>
      <c r="M223" s="22">
        <f>+K223+L223</f>
        <v>2442.6</v>
      </c>
      <c r="N223" s="23">
        <f>$J223*$M223</f>
        <v>29311.199999999997</v>
      </c>
      <c r="O223" s="23">
        <v>11</v>
      </c>
      <c r="P223" s="22">
        <f>$J223-$O223</f>
        <v>1</v>
      </c>
      <c r="Q223" s="22">
        <f>$P223*$M223</f>
        <v>2442.6</v>
      </c>
      <c r="R223" s="20" t="s">
        <v>325</v>
      </c>
      <c r="S223" s="24"/>
    </row>
    <row r="224" spans="2:20" s="25" customFormat="1" ht="20.25" x14ac:dyDescent="0.3">
      <c r="B224" s="16">
        <f>+B223+1</f>
        <v>16</v>
      </c>
      <c r="C224" s="17">
        <v>43252</v>
      </c>
      <c r="D224" s="17">
        <v>43253</v>
      </c>
      <c r="E224" s="18" t="s">
        <v>397</v>
      </c>
      <c r="F224" s="18" t="s">
        <v>398</v>
      </c>
      <c r="G224" s="19">
        <f t="shared" ref="G224:G226" si="69">$J224-$O224</f>
        <v>285</v>
      </c>
      <c r="H224" s="19">
        <f t="shared" si="61"/>
        <v>4703.4800000000005</v>
      </c>
      <c r="I224" s="45" t="s">
        <v>399</v>
      </c>
      <c r="J224" s="21">
        <v>285</v>
      </c>
      <c r="K224" s="22">
        <f>3986/285</f>
        <v>13.985964912280702</v>
      </c>
      <c r="L224" s="22">
        <f>+K224*18%</f>
        <v>2.5174736842105263</v>
      </c>
      <c r="M224" s="22">
        <f t="shared" ref="M224:M226" si="70">+K224+L224</f>
        <v>16.503438596491229</v>
      </c>
      <c r="N224" s="23">
        <f t="shared" ref="N224:N226" si="71">$J224*$M224</f>
        <v>4703.4800000000005</v>
      </c>
      <c r="O224" s="23">
        <v>0</v>
      </c>
      <c r="P224" s="22">
        <f t="shared" ref="P224:P226" si="72">$J224-$O224</f>
        <v>285</v>
      </c>
      <c r="Q224" s="22">
        <f t="shared" ref="Q224:Q226" si="73">$P224*$M224</f>
        <v>4703.4800000000005</v>
      </c>
      <c r="R224" s="20"/>
      <c r="S224" s="24">
        <f>Q224/P224</f>
        <v>16.503438596491229</v>
      </c>
    </row>
    <row r="225" spans="2:20" s="25" customFormat="1" ht="20.25" x14ac:dyDescent="0.3">
      <c r="B225" s="16">
        <f>+B224+1</f>
        <v>17</v>
      </c>
      <c r="C225" s="17" t="s">
        <v>197</v>
      </c>
      <c r="D225" s="17" t="s">
        <v>29</v>
      </c>
      <c r="E225" s="18" t="s">
        <v>400</v>
      </c>
      <c r="F225" s="18" t="s">
        <v>401</v>
      </c>
      <c r="G225" s="19">
        <f t="shared" si="69"/>
        <v>3</v>
      </c>
      <c r="H225" s="19">
        <f t="shared" si="61"/>
        <v>353.96459999999996</v>
      </c>
      <c r="I225" s="45" t="s">
        <v>22</v>
      </c>
      <c r="J225" s="21">
        <v>3</v>
      </c>
      <c r="K225" s="22">
        <v>99.99</v>
      </c>
      <c r="L225" s="22">
        <f t="shared" ref="L225:L226" si="74">+K225*18%</f>
        <v>17.998199999999997</v>
      </c>
      <c r="M225" s="22">
        <f t="shared" si="70"/>
        <v>117.98819999999999</v>
      </c>
      <c r="N225" s="23">
        <f t="shared" si="71"/>
        <v>353.96459999999996</v>
      </c>
      <c r="O225" s="23">
        <v>0</v>
      </c>
      <c r="P225" s="22">
        <f t="shared" si="72"/>
        <v>3</v>
      </c>
      <c r="Q225" s="22">
        <f t="shared" si="73"/>
        <v>353.96459999999996</v>
      </c>
      <c r="R225" s="20" t="s">
        <v>325</v>
      </c>
      <c r="S225" s="24">
        <f>Q225/P225</f>
        <v>117.98819999999999</v>
      </c>
    </row>
    <row r="226" spans="2:20" s="25" customFormat="1" ht="21" thickBot="1" x14ac:dyDescent="0.35">
      <c r="B226" s="16">
        <f t="shared" si="67"/>
        <v>18</v>
      </c>
      <c r="C226" s="17" t="s">
        <v>197</v>
      </c>
      <c r="D226" s="17" t="s">
        <v>29</v>
      </c>
      <c r="E226" s="18" t="s">
        <v>402</v>
      </c>
      <c r="F226" s="18" t="s">
        <v>403</v>
      </c>
      <c r="G226" s="19">
        <f t="shared" si="69"/>
        <v>3</v>
      </c>
      <c r="H226" s="19">
        <f t="shared" si="61"/>
        <v>513.29999999999995</v>
      </c>
      <c r="I226" s="45" t="s">
        <v>22</v>
      </c>
      <c r="J226" s="21">
        <v>3</v>
      </c>
      <c r="K226" s="22">
        <v>145</v>
      </c>
      <c r="L226" s="22">
        <f t="shared" si="74"/>
        <v>26.099999999999998</v>
      </c>
      <c r="M226" s="22">
        <f t="shared" si="70"/>
        <v>171.1</v>
      </c>
      <c r="N226" s="23">
        <f t="shared" si="71"/>
        <v>513.29999999999995</v>
      </c>
      <c r="O226" s="23">
        <v>0</v>
      </c>
      <c r="P226" s="22">
        <f t="shared" si="72"/>
        <v>3</v>
      </c>
      <c r="Q226" s="22">
        <f t="shared" si="73"/>
        <v>513.29999999999995</v>
      </c>
      <c r="R226" s="20" t="s">
        <v>325</v>
      </c>
      <c r="S226" s="24">
        <f>Q226/P226</f>
        <v>171.1</v>
      </c>
    </row>
    <row r="227" spans="2:20" ht="21" thickBot="1" x14ac:dyDescent="0.35">
      <c r="G227" s="46"/>
      <c r="H227" s="35">
        <f>SUM(H209:H226)</f>
        <v>100106.98260000002</v>
      </c>
    </row>
    <row r="228" spans="2:20" ht="36.75" customHeight="1" x14ac:dyDescent="0.5">
      <c r="B228" s="10" t="s">
        <v>404</v>
      </c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44"/>
    </row>
    <row r="229" spans="2:20" s="15" customFormat="1" ht="20.25" x14ac:dyDescent="0.3">
      <c r="B229" s="11" t="s">
        <v>5</v>
      </c>
      <c r="C229" s="12" t="s">
        <v>6</v>
      </c>
      <c r="D229" s="12" t="s">
        <v>7</v>
      </c>
      <c r="E229" s="12" t="s">
        <v>8</v>
      </c>
      <c r="F229" s="12" t="s">
        <v>9</v>
      </c>
      <c r="G229" s="12" t="s">
        <v>10</v>
      </c>
      <c r="H229" s="12" t="s">
        <v>11</v>
      </c>
      <c r="I229" s="13" t="s">
        <v>12</v>
      </c>
      <c r="J229" s="13" t="s">
        <v>13</v>
      </c>
      <c r="K229" s="13" t="s">
        <v>14</v>
      </c>
      <c r="L229" s="13" t="s">
        <v>15</v>
      </c>
      <c r="M229" s="13" t="s">
        <v>16</v>
      </c>
      <c r="N229" s="14" t="s">
        <v>17</v>
      </c>
      <c r="O229" s="14" t="s">
        <v>18</v>
      </c>
      <c r="P229" s="13" t="s">
        <v>10</v>
      </c>
      <c r="Q229" s="13" t="s">
        <v>11</v>
      </c>
      <c r="R229" s="13" t="s">
        <v>19</v>
      </c>
    </row>
    <row r="230" spans="2:20" s="25" customFormat="1" ht="20.25" x14ac:dyDescent="0.3">
      <c r="B230" s="16">
        <v>1</v>
      </c>
      <c r="C230" s="17">
        <v>43830</v>
      </c>
      <c r="D230" s="17">
        <v>43858</v>
      </c>
      <c r="E230" s="18" t="s">
        <v>405</v>
      </c>
      <c r="F230" s="18" t="s">
        <v>406</v>
      </c>
      <c r="G230" s="19">
        <f>$J230-$O230</f>
        <v>2</v>
      </c>
      <c r="H230" s="19">
        <f t="shared" ref="H230:H235" si="75">$P230*$M230</f>
        <v>800.04</v>
      </c>
      <c r="I230" s="20" t="s">
        <v>381</v>
      </c>
      <c r="J230" s="21">
        <v>10</v>
      </c>
      <c r="K230" s="22">
        <v>339</v>
      </c>
      <c r="L230" s="22">
        <f>+K230*18%</f>
        <v>61.019999999999996</v>
      </c>
      <c r="M230" s="22">
        <f>+K230+L230</f>
        <v>400.02</v>
      </c>
      <c r="N230" s="23">
        <f>$J230*$M230</f>
        <v>4000.2</v>
      </c>
      <c r="O230" s="23">
        <v>8</v>
      </c>
      <c r="P230" s="22">
        <f>$J230-$O230</f>
        <v>2</v>
      </c>
      <c r="Q230" s="22">
        <f>$P230*$M230</f>
        <v>800.04</v>
      </c>
      <c r="R230" s="20"/>
      <c r="S230" s="24">
        <f t="shared" ref="S230:S235" si="76">Q230/P230</f>
        <v>400.02</v>
      </c>
    </row>
    <row r="231" spans="2:20" s="25" customFormat="1" ht="20.25" x14ac:dyDescent="0.3">
      <c r="B231" s="16">
        <v>1</v>
      </c>
      <c r="C231" s="17">
        <v>43830</v>
      </c>
      <c r="D231" s="17">
        <v>43858</v>
      </c>
      <c r="E231" s="18" t="s">
        <v>407</v>
      </c>
      <c r="F231" s="18" t="s">
        <v>408</v>
      </c>
      <c r="G231" s="19">
        <f t="shared" ref="G231:G235" si="77">$J231-$O231</f>
        <v>5</v>
      </c>
      <c r="H231" s="19">
        <f t="shared" si="75"/>
        <v>4495.8</v>
      </c>
      <c r="I231" s="20" t="s">
        <v>22</v>
      </c>
      <c r="J231" s="21">
        <v>5</v>
      </c>
      <c r="K231" s="22">
        <v>762</v>
      </c>
      <c r="L231" s="22">
        <f t="shared" ref="L231:L235" si="78">+K231*18%</f>
        <v>137.16</v>
      </c>
      <c r="M231" s="22">
        <f t="shared" ref="M231:M235" si="79">+K231+L231</f>
        <v>899.16</v>
      </c>
      <c r="N231" s="23">
        <f t="shared" ref="N231:N235" si="80">$J231*$M231</f>
        <v>4495.8</v>
      </c>
      <c r="O231" s="23">
        <v>0</v>
      </c>
      <c r="P231" s="22">
        <f t="shared" ref="P231:P235" si="81">$J231-$O231</f>
        <v>5</v>
      </c>
      <c r="Q231" s="22">
        <f t="shared" ref="Q231:Q235" si="82">$P231*$M231</f>
        <v>4495.8</v>
      </c>
      <c r="R231" s="20" t="s">
        <v>331</v>
      </c>
      <c r="S231" s="24">
        <f t="shared" si="76"/>
        <v>899.16000000000008</v>
      </c>
    </row>
    <row r="232" spans="2:20" s="25" customFormat="1" ht="20.25" x14ac:dyDescent="0.3">
      <c r="B232" s="16">
        <f t="shared" ref="B232:B235" si="83">+B231+1</f>
        <v>2</v>
      </c>
      <c r="C232" s="17">
        <v>43252</v>
      </c>
      <c r="D232" s="17">
        <v>43255</v>
      </c>
      <c r="E232" s="18" t="s">
        <v>409</v>
      </c>
      <c r="F232" s="18" t="s">
        <v>410</v>
      </c>
      <c r="G232" s="19">
        <f t="shared" si="77"/>
        <v>1</v>
      </c>
      <c r="H232" s="19">
        <f t="shared" si="75"/>
        <v>859.04</v>
      </c>
      <c r="I232" s="20" t="s">
        <v>22</v>
      </c>
      <c r="J232" s="21">
        <v>2</v>
      </c>
      <c r="K232" s="22">
        <v>728</v>
      </c>
      <c r="L232" s="22">
        <f t="shared" si="78"/>
        <v>131.04</v>
      </c>
      <c r="M232" s="22">
        <f t="shared" si="79"/>
        <v>859.04</v>
      </c>
      <c r="N232" s="23">
        <f t="shared" si="80"/>
        <v>1718.08</v>
      </c>
      <c r="O232" s="23">
        <v>1</v>
      </c>
      <c r="P232" s="22">
        <f t="shared" si="81"/>
        <v>1</v>
      </c>
      <c r="Q232" s="22">
        <f t="shared" si="82"/>
        <v>859.04</v>
      </c>
      <c r="R232" s="20"/>
      <c r="S232" s="24">
        <f t="shared" si="76"/>
        <v>859.04</v>
      </c>
    </row>
    <row r="233" spans="2:20" s="25" customFormat="1" ht="20.25" x14ac:dyDescent="0.3">
      <c r="B233" s="16">
        <f t="shared" si="83"/>
        <v>3</v>
      </c>
      <c r="C233" s="17">
        <v>43252</v>
      </c>
      <c r="D233" s="17">
        <v>43255</v>
      </c>
      <c r="E233" s="18" t="s">
        <v>411</v>
      </c>
      <c r="F233" s="18" t="s">
        <v>412</v>
      </c>
      <c r="G233" s="19">
        <f t="shared" si="77"/>
        <v>1</v>
      </c>
      <c r="H233" s="19">
        <f t="shared" si="75"/>
        <v>843.7</v>
      </c>
      <c r="I233" s="20" t="s">
        <v>22</v>
      </c>
      <c r="J233" s="21">
        <v>2</v>
      </c>
      <c r="K233" s="22">
        <v>715</v>
      </c>
      <c r="L233" s="22">
        <f t="shared" si="78"/>
        <v>128.69999999999999</v>
      </c>
      <c r="M233" s="22">
        <f t="shared" si="79"/>
        <v>843.7</v>
      </c>
      <c r="N233" s="23">
        <f t="shared" si="80"/>
        <v>1687.4</v>
      </c>
      <c r="O233" s="23">
        <v>1</v>
      </c>
      <c r="P233" s="22">
        <f t="shared" si="81"/>
        <v>1</v>
      </c>
      <c r="Q233" s="22">
        <f t="shared" si="82"/>
        <v>843.7</v>
      </c>
      <c r="R233" s="20"/>
      <c r="S233" s="24">
        <f t="shared" si="76"/>
        <v>843.7</v>
      </c>
    </row>
    <row r="234" spans="2:20" s="25" customFormat="1" ht="24" customHeight="1" x14ac:dyDescent="0.3">
      <c r="B234" s="16">
        <f>+B233+1</f>
        <v>4</v>
      </c>
      <c r="C234" s="17">
        <v>43922</v>
      </c>
      <c r="D234" s="17">
        <v>44008</v>
      </c>
      <c r="E234" s="18" t="s">
        <v>413</v>
      </c>
      <c r="F234" s="18" t="s">
        <v>414</v>
      </c>
      <c r="G234" s="19">
        <f t="shared" si="77"/>
        <v>20</v>
      </c>
      <c r="H234" s="19">
        <f t="shared" si="75"/>
        <v>8999.86</v>
      </c>
      <c r="I234" s="20" t="s">
        <v>22</v>
      </c>
      <c r="J234" s="21">
        <v>30</v>
      </c>
      <c r="K234" s="22">
        <v>381.35</v>
      </c>
      <c r="L234" s="22">
        <f t="shared" si="78"/>
        <v>68.643000000000001</v>
      </c>
      <c r="M234" s="22">
        <f t="shared" si="79"/>
        <v>449.99300000000005</v>
      </c>
      <c r="N234" s="23">
        <f t="shared" si="80"/>
        <v>13499.79</v>
      </c>
      <c r="O234" s="23">
        <v>10</v>
      </c>
      <c r="P234" s="22">
        <f t="shared" si="81"/>
        <v>20</v>
      </c>
      <c r="Q234" s="22">
        <f t="shared" si="82"/>
        <v>8999.86</v>
      </c>
      <c r="R234" s="20" t="s">
        <v>415</v>
      </c>
      <c r="S234" s="24">
        <f t="shared" si="76"/>
        <v>449.99300000000005</v>
      </c>
      <c r="T234" s="29"/>
    </row>
    <row r="235" spans="2:20" s="25" customFormat="1" ht="20.25" x14ac:dyDescent="0.3">
      <c r="B235" s="16">
        <f t="shared" si="83"/>
        <v>5</v>
      </c>
      <c r="C235" s="17">
        <v>43252</v>
      </c>
      <c r="D235" s="17">
        <v>43253</v>
      </c>
      <c r="E235" s="18" t="s">
        <v>416</v>
      </c>
      <c r="F235" s="18" t="s">
        <v>417</v>
      </c>
      <c r="G235" s="19">
        <f t="shared" si="77"/>
        <v>1</v>
      </c>
      <c r="H235" s="19">
        <f t="shared" si="75"/>
        <v>1572.35</v>
      </c>
      <c r="I235" s="20" t="s">
        <v>22</v>
      </c>
      <c r="J235" s="21">
        <v>1</v>
      </c>
      <c r="K235" s="22">
        <v>1332.5</v>
      </c>
      <c r="L235" s="22">
        <f t="shared" si="78"/>
        <v>239.85</v>
      </c>
      <c r="M235" s="22">
        <f t="shared" si="79"/>
        <v>1572.35</v>
      </c>
      <c r="N235" s="23">
        <f t="shared" si="80"/>
        <v>1572.35</v>
      </c>
      <c r="O235" s="23"/>
      <c r="P235" s="22">
        <f t="shared" si="81"/>
        <v>1</v>
      </c>
      <c r="Q235" s="22">
        <f t="shared" si="82"/>
        <v>1572.35</v>
      </c>
      <c r="R235" s="20"/>
      <c r="S235" s="24">
        <f t="shared" si="76"/>
        <v>1572.35</v>
      </c>
    </row>
    <row r="236" spans="2:20" s="25" customFormat="1" ht="20.25" x14ac:dyDescent="0.3">
      <c r="B236" s="16">
        <v>6</v>
      </c>
      <c r="C236" s="17" t="s">
        <v>197</v>
      </c>
      <c r="D236" s="17" t="s">
        <v>29</v>
      </c>
      <c r="E236" s="18" t="s">
        <v>418</v>
      </c>
      <c r="F236" s="18" t="s">
        <v>419</v>
      </c>
      <c r="G236" s="19">
        <v>6</v>
      </c>
      <c r="H236" s="19">
        <v>4602</v>
      </c>
      <c r="I236" s="20" t="s">
        <v>22</v>
      </c>
      <c r="J236" s="21">
        <v>10</v>
      </c>
      <c r="K236" s="22">
        <v>650</v>
      </c>
      <c r="L236" s="22">
        <v>117</v>
      </c>
      <c r="M236" s="22">
        <v>767</v>
      </c>
      <c r="N236" s="23">
        <v>7670</v>
      </c>
      <c r="O236" s="23">
        <v>4</v>
      </c>
      <c r="P236" s="22">
        <v>6</v>
      </c>
      <c r="Q236" s="22">
        <v>4602</v>
      </c>
      <c r="R236" s="20" t="s">
        <v>325</v>
      </c>
      <c r="S236" s="24"/>
      <c r="T236" s="29"/>
    </row>
    <row r="237" spans="2:20" s="25" customFormat="1" ht="20.25" x14ac:dyDescent="0.3">
      <c r="B237" s="16">
        <v>14</v>
      </c>
      <c r="C237" s="17">
        <v>43252</v>
      </c>
      <c r="D237" s="17">
        <v>43254</v>
      </c>
      <c r="E237" s="18" t="s">
        <v>420</v>
      </c>
      <c r="F237" s="18" t="s">
        <v>421</v>
      </c>
      <c r="G237" s="19">
        <v>74</v>
      </c>
      <c r="H237" s="19">
        <v>698.56</v>
      </c>
      <c r="I237" s="20" t="s">
        <v>422</v>
      </c>
      <c r="J237" s="21">
        <v>77</v>
      </c>
      <c r="K237" s="22">
        <v>8</v>
      </c>
      <c r="L237" s="22">
        <v>1.44</v>
      </c>
      <c r="M237" s="22">
        <v>9.44</v>
      </c>
      <c r="N237" s="23">
        <v>726.88</v>
      </c>
      <c r="O237" s="23">
        <v>3</v>
      </c>
      <c r="P237" s="22">
        <v>74</v>
      </c>
      <c r="Q237" s="22">
        <v>698.56</v>
      </c>
      <c r="R237" s="22"/>
      <c r="S237" s="24">
        <v>9.44</v>
      </c>
    </row>
    <row r="238" spans="2:20" s="25" customFormat="1" ht="20.25" x14ac:dyDescent="0.3">
      <c r="B238" s="16">
        <v>62</v>
      </c>
      <c r="C238" s="17" t="s">
        <v>197</v>
      </c>
      <c r="D238" s="17" t="s">
        <v>29</v>
      </c>
      <c r="E238" s="18" t="s">
        <v>423</v>
      </c>
      <c r="F238" s="18" t="s">
        <v>424</v>
      </c>
      <c r="G238" s="19">
        <v>14</v>
      </c>
      <c r="H238" s="19">
        <v>5121.2</v>
      </c>
      <c r="I238" s="20" t="s">
        <v>22</v>
      </c>
      <c r="J238" s="21">
        <v>14</v>
      </c>
      <c r="K238" s="22">
        <v>310</v>
      </c>
      <c r="L238" s="22">
        <v>55.8</v>
      </c>
      <c r="M238" s="22">
        <v>365.8</v>
      </c>
      <c r="N238" s="23">
        <v>5121.2</v>
      </c>
      <c r="O238" s="23">
        <v>0</v>
      </c>
      <c r="P238" s="22">
        <v>14</v>
      </c>
      <c r="Q238" s="22">
        <v>5121.2</v>
      </c>
      <c r="R238" s="20" t="s">
        <v>325</v>
      </c>
      <c r="S238" s="24"/>
      <c r="T238" s="29"/>
    </row>
    <row r="239" spans="2:20" s="25" customFormat="1" ht="20.25" x14ac:dyDescent="0.3">
      <c r="B239" s="16">
        <v>63</v>
      </c>
      <c r="C239" s="17" t="s">
        <v>197</v>
      </c>
      <c r="D239" s="17" t="s">
        <v>29</v>
      </c>
      <c r="E239" s="18" t="s">
        <v>425</v>
      </c>
      <c r="F239" s="18" t="s">
        <v>426</v>
      </c>
      <c r="G239" s="19">
        <v>7</v>
      </c>
      <c r="H239" s="19">
        <v>5451.5999999999995</v>
      </c>
      <c r="I239" s="20" t="s">
        <v>390</v>
      </c>
      <c r="J239" s="21">
        <v>7</v>
      </c>
      <c r="K239" s="22">
        <v>660</v>
      </c>
      <c r="L239" s="22">
        <v>118.8</v>
      </c>
      <c r="M239" s="22">
        <v>778.8</v>
      </c>
      <c r="N239" s="23">
        <v>5451.5999999999995</v>
      </c>
      <c r="O239" s="23">
        <v>0</v>
      </c>
      <c r="P239" s="22">
        <v>7</v>
      </c>
      <c r="Q239" s="22">
        <v>5451.5999999999995</v>
      </c>
      <c r="R239" s="20" t="s">
        <v>325</v>
      </c>
      <c r="S239" s="24"/>
      <c r="T239" s="29"/>
    </row>
    <row r="240" spans="2:20" s="25" customFormat="1" ht="20.25" x14ac:dyDescent="0.3">
      <c r="B240" s="16">
        <v>64</v>
      </c>
      <c r="C240" s="17">
        <v>44020</v>
      </c>
      <c r="D240" s="17">
        <v>44033</v>
      </c>
      <c r="E240" s="18" t="s">
        <v>427</v>
      </c>
      <c r="F240" s="18" t="s">
        <v>428</v>
      </c>
      <c r="G240" s="19">
        <v>8</v>
      </c>
      <c r="H240" s="19">
        <v>46256</v>
      </c>
      <c r="I240" s="20" t="s">
        <v>22</v>
      </c>
      <c r="J240" s="21">
        <v>10</v>
      </c>
      <c r="K240" s="22">
        <v>4900</v>
      </c>
      <c r="L240" s="22">
        <v>882</v>
      </c>
      <c r="M240" s="22">
        <v>5782</v>
      </c>
      <c r="N240" s="23">
        <v>57820</v>
      </c>
      <c r="O240" s="23">
        <v>2</v>
      </c>
      <c r="P240" s="22">
        <v>8</v>
      </c>
      <c r="Q240" s="22">
        <v>46256</v>
      </c>
      <c r="R240" s="20" t="s">
        <v>387</v>
      </c>
      <c r="S240" s="24">
        <v>5782</v>
      </c>
    </row>
    <row r="241" spans="2:19" s="25" customFormat="1" ht="20.25" x14ac:dyDescent="0.3">
      <c r="B241" s="16">
        <v>65</v>
      </c>
      <c r="C241" s="17">
        <v>44020</v>
      </c>
      <c r="D241" s="17">
        <v>44033</v>
      </c>
      <c r="E241" s="18" t="s">
        <v>429</v>
      </c>
      <c r="F241" s="18" t="s">
        <v>430</v>
      </c>
      <c r="G241" s="19">
        <v>4</v>
      </c>
      <c r="H241" s="19">
        <v>21240</v>
      </c>
      <c r="I241" s="20" t="s">
        <v>22</v>
      </c>
      <c r="J241" s="21">
        <v>4</v>
      </c>
      <c r="K241" s="22">
        <v>4500</v>
      </c>
      <c r="L241" s="22">
        <v>810</v>
      </c>
      <c r="M241" s="22">
        <v>5310</v>
      </c>
      <c r="N241" s="23">
        <v>21240</v>
      </c>
      <c r="O241" s="23">
        <v>0</v>
      </c>
      <c r="P241" s="22">
        <v>4</v>
      </c>
      <c r="Q241" s="22">
        <v>21240</v>
      </c>
      <c r="R241" s="20" t="s">
        <v>387</v>
      </c>
      <c r="S241" s="24">
        <v>5310</v>
      </c>
    </row>
    <row r="242" spans="2:19" s="25" customFormat="1" ht="21" thickBot="1" x14ac:dyDescent="0.35">
      <c r="B242" s="16">
        <v>71</v>
      </c>
      <c r="C242" s="17" t="s">
        <v>197</v>
      </c>
      <c r="D242" s="17" t="s">
        <v>29</v>
      </c>
      <c r="E242" s="18" t="s">
        <v>431</v>
      </c>
      <c r="F242" s="27" t="s">
        <v>432</v>
      </c>
      <c r="G242" s="19">
        <v>4</v>
      </c>
      <c r="H242" s="19">
        <v>896.8</v>
      </c>
      <c r="I242" s="20" t="s">
        <v>22</v>
      </c>
      <c r="J242" s="21">
        <v>4</v>
      </c>
      <c r="K242" s="22">
        <v>190</v>
      </c>
      <c r="L242" s="22">
        <v>34.199999999999996</v>
      </c>
      <c r="M242" s="22">
        <v>224.2</v>
      </c>
      <c r="N242" s="23">
        <v>896.8</v>
      </c>
      <c r="O242" s="23">
        <v>0</v>
      </c>
      <c r="P242" s="22">
        <v>4</v>
      </c>
      <c r="Q242" s="22">
        <v>896.8</v>
      </c>
      <c r="R242" s="20" t="s">
        <v>325</v>
      </c>
      <c r="S242" s="24"/>
    </row>
    <row r="243" spans="2:19" ht="21" thickBot="1" x14ac:dyDescent="0.35">
      <c r="G243" s="46"/>
      <c r="H243" s="35">
        <f>SUM(H231:H242)</f>
        <v>101036.91</v>
      </c>
    </row>
    <row r="244" spans="2:19" ht="15.75" thickBot="1" x14ac:dyDescent="0.3">
      <c r="H244" s="46"/>
    </row>
    <row r="245" spans="2:19" ht="32.25" thickBot="1" x14ac:dyDescent="0.55000000000000004">
      <c r="B245" s="47" t="s">
        <v>433</v>
      </c>
      <c r="C245" s="47"/>
      <c r="D245" s="47"/>
      <c r="E245" s="47"/>
      <c r="F245" s="47"/>
      <c r="G245" s="48"/>
      <c r="H245" s="35">
        <f>+H243+H227+H206+H182</f>
        <v>905700.69412331772</v>
      </c>
    </row>
    <row r="250" spans="2:19" ht="27" x14ac:dyDescent="0.35">
      <c r="B250" s="49" t="s">
        <v>434</v>
      </c>
      <c r="C250" s="49"/>
      <c r="D250" s="49"/>
      <c r="E250" s="49"/>
      <c r="G250" s="49" t="s">
        <v>435</v>
      </c>
      <c r="H250" s="49"/>
      <c r="I250" s="49"/>
      <c r="J250" s="49"/>
    </row>
    <row r="251" spans="2:19" ht="27.75" x14ac:dyDescent="0.4">
      <c r="B251" s="50" t="s">
        <v>436</v>
      </c>
      <c r="C251" s="50"/>
      <c r="D251" s="50"/>
      <c r="E251" s="50"/>
      <c r="G251" s="50" t="s">
        <v>437</v>
      </c>
      <c r="H251" s="50"/>
      <c r="I251" s="50"/>
      <c r="J251" s="50"/>
    </row>
    <row r="252" spans="2:19" ht="27.75" x14ac:dyDescent="0.4">
      <c r="B252" s="50" t="s">
        <v>438</v>
      </c>
      <c r="C252" s="50"/>
      <c r="D252" s="50"/>
      <c r="E252" s="50"/>
      <c r="G252" s="50" t="s">
        <v>439</v>
      </c>
      <c r="H252" s="50"/>
      <c r="I252" s="50"/>
      <c r="J252" s="50"/>
    </row>
  </sheetData>
  <autoFilter ref="A8:T243" xr:uid="{B6DF20F7-6DAA-4CEF-A326-7003F36CF2B3}"/>
  <mergeCells count="15">
    <mergeCell ref="B252:E252"/>
    <mergeCell ref="G252:J252"/>
    <mergeCell ref="B207:Q207"/>
    <mergeCell ref="B228:Q228"/>
    <mergeCell ref="B245:G245"/>
    <mergeCell ref="B250:E250"/>
    <mergeCell ref="G250:J250"/>
    <mergeCell ref="B251:E251"/>
    <mergeCell ref="G251:J251"/>
    <mergeCell ref="B3:Q3"/>
    <mergeCell ref="B4:Q4"/>
    <mergeCell ref="B5:Q5"/>
    <mergeCell ref="B6:Q6"/>
    <mergeCell ref="B7:Q7"/>
    <mergeCell ref="B183:Q183"/>
  </mergeCells>
  <pageMargins left="0.70866141732283472" right="0.70866141732283472" top="0.74803149606299213" bottom="0.74803149606299213" header="0.31496062992125984" footer="0.31496062992125984"/>
  <pageSetup scale="4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Entrada y Salida </vt:lpstr>
      <vt:lpstr>'Entrada y Salida '!Área_de_impresión</vt:lpstr>
      <vt:lpstr>'Entrada y Salida '!Títulos_a_imprimir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Matos</dc:creator>
  <cp:lastModifiedBy>Brenda Matos</cp:lastModifiedBy>
  <dcterms:created xsi:type="dcterms:W3CDTF">2022-10-06T12:34:12Z</dcterms:created>
  <dcterms:modified xsi:type="dcterms:W3CDTF">2022-10-06T12:34:46Z</dcterms:modified>
</cp:coreProperties>
</file>